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ylancox/Downloads/"/>
    </mc:Choice>
  </mc:AlternateContent>
  <xr:revisionPtr revIDLastSave="0" documentId="13_ncr:1_{0E00F1C5-0310-934A-83D1-278E53BC2E06}" xr6:coauthVersionLast="47" xr6:coauthVersionMax="47" xr10:uidLastSave="{00000000-0000-0000-0000-000000000000}"/>
  <bookViews>
    <workbookView xWindow="-4540" yWindow="-21580" windowWidth="38400" windowHeight="2148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8" i="3" l="1"/>
  <c r="E78" i="3"/>
  <c r="C78" i="3"/>
  <c r="D77" i="3"/>
  <c r="E77" i="3"/>
  <c r="C77" i="3"/>
  <c r="D76" i="3"/>
  <c r="E76" i="3"/>
  <c r="C76" i="3"/>
  <c r="D74" i="3"/>
  <c r="E74" i="3"/>
  <c r="C74" i="3"/>
  <c r="D73" i="3"/>
  <c r="E73" i="3"/>
  <c r="C73" i="3"/>
  <c r="D72" i="3"/>
  <c r="E72" i="3"/>
  <c r="C72" i="3"/>
  <c r="D71" i="3"/>
  <c r="E71" i="3"/>
  <c r="C71" i="3"/>
  <c r="D70" i="3"/>
  <c r="E70" i="3"/>
  <c r="C70" i="3"/>
  <c r="D69" i="3"/>
  <c r="E69" i="3"/>
  <c r="C69" i="3"/>
  <c r="D68" i="3"/>
  <c r="E68" i="3"/>
  <c r="C68" i="3"/>
  <c r="C65" i="3"/>
  <c r="C64" i="3"/>
  <c r="C63" i="3"/>
  <c r="C62" i="3"/>
  <c r="C61" i="3"/>
  <c r="C60" i="3"/>
  <c r="C59" i="3"/>
  <c r="C58" i="3"/>
  <c r="C57" i="3"/>
  <c r="C56" i="3"/>
  <c r="D51" i="3"/>
  <c r="E51" i="3"/>
  <c r="C51" i="3"/>
  <c r="C48" i="3"/>
  <c r="D45" i="3"/>
  <c r="D46" i="3" s="1"/>
  <c r="E45" i="3"/>
  <c r="E46" i="3" s="1"/>
  <c r="C45" i="3"/>
  <c r="C46" i="3" s="1"/>
  <c r="D43" i="3"/>
  <c r="D42" i="3" s="1"/>
  <c r="E43" i="3"/>
  <c r="E42" i="3" s="1"/>
  <c r="C43" i="3"/>
  <c r="C42" i="3" s="1"/>
  <c r="D35" i="3"/>
  <c r="E35" i="3"/>
  <c r="C35" i="3"/>
  <c r="D27" i="3"/>
  <c r="E27" i="3"/>
  <c r="C27" i="3"/>
  <c r="D26" i="3"/>
  <c r="E26" i="3"/>
  <c r="C26" i="3"/>
  <c r="D25" i="3"/>
  <c r="E25" i="3"/>
  <c r="C25" i="3"/>
  <c r="E40" i="3"/>
  <c r="C40" i="3"/>
  <c r="D31" i="3"/>
  <c r="D30" i="3" s="1"/>
  <c r="E31" i="3"/>
  <c r="E30" i="3" s="1"/>
  <c r="C31" i="3"/>
  <c r="C30" i="3" s="1"/>
  <c r="D19" i="3"/>
  <c r="D18" i="3" s="1"/>
  <c r="E19" i="3"/>
  <c r="E50" i="3" s="1"/>
  <c r="C19" i="3"/>
  <c r="D49" i="3"/>
  <c r="E49" i="3"/>
  <c r="C49" i="3"/>
  <c r="D47" i="3"/>
  <c r="E47" i="3"/>
  <c r="C47" i="3"/>
  <c r="D44" i="3"/>
  <c r="E44" i="3"/>
  <c r="C44" i="3"/>
  <c r="D41" i="3"/>
  <c r="D40" i="3" s="1"/>
  <c r="E41" i="3"/>
  <c r="C41" i="3"/>
  <c r="D37" i="3"/>
  <c r="E37" i="3"/>
  <c r="C37" i="3"/>
  <c r="D36" i="3"/>
  <c r="E36" i="3"/>
  <c r="C36" i="3"/>
  <c r="D34" i="3"/>
  <c r="E34" i="3"/>
  <c r="C34" i="3"/>
  <c r="C28" i="3"/>
  <c r="D22" i="3"/>
  <c r="E22" i="3"/>
  <c r="C22" i="3"/>
  <c r="C18" i="3"/>
  <c r="D21" i="3"/>
  <c r="D20" i="3" s="1"/>
  <c r="E21" i="3"/>
  <c r="E20" i="3" s="1"/>
  <c r="C21" i="3"/>
  <c r="C20" i="3" s="1"/>
  <c r="D17" i="3"/>
  <c r="E17" i="3"/>
  <c r="C17" i="3"/>
  <c r="D14" i="3"/>
  <c r="D13" i="3" s="1"/>
  <c r="E14" i="3"/>
  <c r="E13" i="3" s="1"/>
  <c r="C14" i="3"/>
  <c r="C13" i="3" s="1"/>
  <c r="D11" i="3"/>
  <c r="E11" i="3"/>
  <c r="C11" i="3"/>
  <c r="D10" i="3"/>
  <c r="E10" i="3"/>
  <c r="C10" i="3"/>
  <c r="D9" i="3"/>
  <c r="E9" i="3"/>
  <c r="E12" i="3" s="1"/>
  <c r="C9" i="3"/>
  <c r="C12" i="3" s="1"/>
  <c r="D8" i="3"/>
  <c r="E8" i="3"/>
  <c r="C8" i="3"/>
  <c r="D7" i="3"/>
  <c r="E7" i="3"/>
  <c r="C7" i="3"/>
  <c r="E6" i="3"/>
  <c r="D6" i="3"/>
  <c r="C6" i="3"/>
  <c r="D5" i="3"/>
  <c r="E5" i="3"/>
  <c r="C5" i="3"/>
  <c r="D108" i="1"/>
  <c r="C108" i="1"/>
  <c r="B108" i="1"/>
  <c r="D99" i="1"/>
  <c r="C99" i="1"/>
  <c r="B99" i="1"/>
  <c r="E28" i="3" l="1"/>
  <c r="D28" i="3"/>
  <c r="E48" i="3"/>
  <c r="E18" i="3"/>
  <c r="D12" i="3"/>
  <c r="C29" i="3"/>
  <c r="D48" i="3"/>
  <c r="E29" i="3"/>
  <c r="D29" i="3"/>
  <c r="D50" i="3"/>
  <c r="C50" i="3"/>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34" i="3"/>
  <c r="A35" i="3" s="1"/>
  <c r="A36" i="3" s="1"/>
  <c r="A37" i="3" s="1"/>
</calcChain>
</file>

<file path=xl/sharedStrings.xml><?xml version="1.0" encoding="utf-8"?>
<sst xmlns="http://schemas.openxmlformats.org/spreadsheetml/2006/main" count="207" uniqueCount="169">
  <si>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</si>
  <si>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</si>
  <si>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</si>
  <si>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</si>
  <si>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</si>
  <si>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</si>
  <si>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</si>
  <si>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</si>
  <si>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</si>
  <si>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</si>
  <si>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</si>
  <si>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</si>
  <si>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</si>
  <si>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</si>
  <si>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</si>
  <si>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</si>
  <si>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</si>
  <si>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</si>
  <si>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</si>
  <si>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</si>
  <si>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</si>
  <si>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</si>
  <si>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</si>
  <si>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</si>
  <si>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</si>
  <si>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</si>
  <si>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</si>
  <si>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</si>
  <si>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</si>
  <si>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</si>
  <si>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</si>
  <si>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</si>
  <si>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</si>
  <si>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</si>
  <si>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</si>
  <si>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</si>
  <si>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</si>
  <si>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</si>
  <si>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</si>
  <si>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</si>
  <si>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</si>
  <si>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</si>
  <si>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</si>
  <si>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</si>
  <si>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</si>
  <si>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</si>
  <si>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</si>
  <si>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</si>
  <si>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</si>
  <si>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</si>
  <si>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</si>
  <si>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</si>
  <si>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</si>
  <si>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</si>
  <si>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</si>
  <si>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</si>
  <si>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</si>
  <si>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</si>
  <si>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</si>
  <si>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</si>
  <si>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</si>
  <si>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</si>
  <si>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</si>
  <si>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</si>
  <si>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</si>
  <si>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</si>
  <si>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</si>
  <si>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</si>
  <si>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</si>
  <si>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</si>
  <si>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</si>
  <si>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</si>
  <si>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</si>
  <si>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</si>
  <si>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</si>
  <si>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</si>
  <si>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</si>
  <si>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</si>
  <si>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</si>
  <si>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</si>
  <si>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</si>
  <si>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</si>
  <si>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</si>
  <si>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</si>
  <si>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</si>
  <si>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</si>
  <si>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</si>
  <si>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</si>
  <si>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</si>
  <si>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</si>
  <si>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</si>
  <si>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</si>
  <si>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</si>
  <si>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</si>
  <si>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</si>
  <si>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</si>
  <si>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</si>
  <si>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</si>
  <si>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</si>
  <si>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</si>
  <si>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</si>
  <si>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</si>
  <si>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</si>
  <si>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</si>
  <si>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</si>
  <si>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</si>
  <si>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</si>
  <si>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</si>
  <si>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</si>
  <si>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</si>
  <si>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</si>
  <si>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</si>
  <si>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</si>
  <si>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</si>
  <si>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</si>
  <si>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</si>
  <si>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</si>
  <si>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</si>
  <si>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</si>
  <si>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</si>
  <si>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</si>
  <si>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</si>
  <si>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</si>
  <si>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</si>
  <si>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</si>
  <si>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</si>
  <si>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</si>
  <si>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</si>
  <si>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</si>
  <si>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</si>
  <si>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</si>
  <si>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</si>
  <si>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</si>
  <si>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</si>
  <si>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</si>
  <si>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</si>
  <si>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</si>
  <si>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</si>
  <si>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</si>
  <si>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</si>
  <si>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</si>
  <si>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</si>
  <si>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</si>
  <si>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</si>
  <si>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</si>
  <si>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</si>
  <si>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</si>
  <si>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</si>
  <si>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</si>
  <si>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</si>
  <si>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Include only term debt for Debt figure, since differed revenue is not an actual form of capital</t>
  </si>
  <si>
    <t>EBIT/ (Interest + Debt repayment), interest can be found at the bottom of cash flow, debt repayment can be found in the cash flow statement</t>
  </si>
  <si>
    <t>FCFE/Diluted number of shares</t>
  </si>
  <si>
    <t>Fixed asset should be only property plant and equipment</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</si>
  <si>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</si>
  <si>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</si>
  <si>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 xml:space="preserve"> Capital employed = Term debt + Total shareholder equity</t>
  </si>
  <si>
    <t>Market cap = Share price * Diluted number of shares. Note that the three statements are reported in millions while the share count is reported in absolute number, so divide share count by 1000 within brackets</t>
  </si>
  <si>
    <t>Feedback</t>
  </si>
  <si>
    <t xml:space="preserve"> </t>
  </si>
  <si>
    <t>Growth rates</t>
  </si>
  <si>
    <t>Research and development expenses</t>
  </si>
  <si>
    <t>Sales, general and administrative expenses</t>
  </si>
  <si>
    <t>Products sales</t>
  </si>
  <si>
    <t>Services sales</t>
  </si>
  <si>
    <t>Total shareholder's equity</t>
  </si>
  <si>
    <t>Margins as % of net sales</t>
  </si>
  <si>
    <t>Capex as % of sales</t>
  </si>
  <si>
    <t>Capes as % of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</si>
</sst>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
      <sz val="14"/>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8" fillId="0" borderId="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1" applyFont="1"/>
    <xf numFmtId="2" fontId="0" fillId="0" borderId="0" xfId="0" applyNumberFormat="1"/>
    <xf numFmtId="10" fontId="0" fillId="0" borderId="0" xfId="3" applyNumberFormat="1" applyFont="1"/>
    <xf numFmtId="0" fontId="8" fillId="0" borderId="0" xfId="4"/>
    <xf numFmtId="164" fontId="0" fillId="0" borderId="0" xfId="0" applyNumberFormat="1"/>
    <xf numFmtId="0" fontId="9" fillId="2"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xf>
    <xf numFmtId="1" fontId="0" fillId="0" borderId="0" xfId="0" applyNumberFormat="1"/>
    <xf numFmtId="0" fontId="0" fillId="0" borderId="0" xfId="0" applyFont="1" applyAlignment="1">
      <alignment horizontal="left"/>
    </xf>
  </cellXfs>
  <cellStyles count="5">
    <cellStyle name="Comma" xfId="1" builtinId="3"/>
    <cellStyle name="Hyperlink" xfId="2" builtinId="8"/>
    <cellStyle name="Normal" xfId="0" builtinId="0"/>
    <cellStyle name="Normal 2" xfId="4" xr:uid="{578FD7E0-5813-4AB1-8D1B-F6AFDFDC7E34}"/>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B1" sqref="B1"/>
    </sheetView>
  </sheetViews>
  <sheetFormatPr baseColWidth="10" defaultColWidth="8.83203125" defaultRowHeight="15" x14ac:dyDescent="0.2"/>
  <cols>
    <col min="1" max="1" width="104.5" customWidth="1"/>
  </cols>
  <sheetData>
    <row r="1" spans="1:1" ht="24" x14ac:dyDescent="0.3">
      <c r="A1" s="5" t="s">
        <v>87</v>
      </c>
    </row>
    <row r="3" spans="1:1" x14ac:dyDescent="0.2">
      <c r="A3" s="7" t="s">
        <v>141</v>
      </c>
    </row>
    <row r="4" spans="1:1" x14ac:dyDescent="0.2">
      <c r="A4" s="16" t="s">
        <v>88</v>
      </c>
    </row>
    <row r="5" spans="1:1" x14ac:dyDescent="0.2">
      <c r="A5" s="7" t="s">
        <v>97</v>
      </c>
    </row>
    <row r="6" spans="1:1" x14ac:dyDescent="0.2">
      <c r="A6" s="1" t="s">
        <v>148</v>
      </c>
    </row>
    <row r="7" spans="1:1" x14ac:dyDescent="0.2">
      <c r="A7" s="1"/>
    </row>
    <row r="8" spans="1:1" x14ac:dyDescent="0.2">
      <c r="A8" s="17" t="s">
        <v>149</v>
      </c>
    </row>
    <row r="9" spans="1:1" x14ac:dyDescent="0.2">
      <c r="A9" s="1" t="s">
        <v>145</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146</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144</v>
      </c>
    </row>
    <row r="27" spans="1:1" x14ac:dyDescent="0.2">
      <c r="A27" s="16" t="s">
        <v>143</v>
      </c>
    </row>
    <row r="29" spans="1:1" x14ac:dyDescent="0.2">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A55" sqref="A55"/>
    </sheetView>
  </sheetViews>
  <sheetFormatPr baseColWidth="10" defaultColWidth="8.83203125" defaultRowHeight="15" x14ac:dyDescent="0.2"/>
  <cols>
    <col min="1" max="1" width="59" customWidth="1"/>
    <col min="2" max="3" width="11.5" bestFit="1" customWidth="1"/>
    <col min="4" max="4" width="11.6640625" bestFit="1" customWidth="1"/>
    <col min="5" max="10" width="8.83203125" customWidth="1"/>
  </cols>
  <sheetData>
    <row r="1" spans="1:10" ht="60" customHeight="1" x14ac:dyDescent="0.2">
      <c r="A1" s="6" t="s">
        <v>0</v>
      </c>
      <c r="B1" s="4" t="s">
        <v>2</v>
      </c>
      <c r="C1" s="4"/>
      <c r="D1" s="4"/>
      <c r="E1" s="4"/>
      <c r="F1" s="4"/>
      <c r="G1" s="4"/>
      <c r="H1" s="4"/>
      <c r="I1" s="4"/>
      <c r="J1" s="4"/>
    </row>
    <row r="2" spans="1:10" x14ac:dyDescent="0.2">
      <c r="A2" s="31" t="s">
        <v>1</v>
      </c>
      <c r="B2" s="31"/>
      <c r="C2" s="31"/>
      <c r="D2" s="31"/>
    </row>
    <row r="3" spans="1:10" x14ac:dyDescent="0.2">
      <c r="B3" s="30" t="s">
        <v>23</v>
      </c>
      <c r="C3" s="30"/>
      <c r="D3" s="30"/>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c r="H14" s="23"/>
      <c r="I14" s="23"/>
      <c r="J14" s="23"/>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7"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1" t="s">
        <v>24</v>
      </c>
      <c r="B31" s="31"/>
      <c r="C31" s="31"/>
      <c r="D31" s="31"/>
    </row>
    <row r="32" spans="1:4" x14ac:dyDescent="0.2">
      <c r="B32" s="30" t="s">
        <v>142</v>
      </c>
      <c r="C32" s="30"/>
      <c r="D32" s="30"/>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3">+C59+C60</f>
        <v>162431</v>
      </c>
      <c r="D61" s="21">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1" t="s">
        <v>55</v>
      </c>
      <c r="B71" s="31"/>
      <c r="C71" s="31"/>
      <c r="D71" s="31"/>
    </row>
    <row r="72" spans="1:4" x14ac:dyDescent="0.2">
      <c r="B72" s="30" t="s">
        <v>23</v>
      </c>
      <c r="C72" s="30"/>
      <c r="D72" s="30"/>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
  <sheetViews>
    <sheetView tabSelected="1" topLeftCell="A31" workbookViewId="0">
      <selection activeCell="F48" sqref="F48"/>
    </sheetView>
  </sheetViews>
  <sheetFormatPr baseColWidth="10" defaultColWidth="8.83203125" defaultRowHeight="15" x14ac:dyDescent="0.2"/>
  <cols>
    <col min="1" max="1" width="4.6640625" customWidth="1"/>
    <col min="2" max="2" width="44.83203125" customWidth="1"/>
    <col min="3" max="3" width="12" bestFit="1" customWidth="1"/>
    <col min="4" max="4" width="10.1640625" bestFit="1" customWidth="1"/>
    <col min="5" max="5" width="9.1640625" bestFit="1" customWidth="1"/>
    <col min="6" max="6" width="219" bestFit="1" customWidth="1"/>
  </cols>
  <sheetData>
    <row r="1" spans="1:10" ht="60" customHeight="1" x14ac:dyDescent="0.3">
      <c r="A1" s="6"/>
      <c r="B1" s="20" t="s">
        <v>0</v>
      </c>
      <c r="C1" s="19"/>
      <c r="D1" s="19"/>
      <c r="E1" s="19"/>
      <c r="F1" s="29" t="s">
        <v>158</v>
      </c>
      <c r="G1" s="19"/>
      <c r="H1" s="19"/>
      <c r="I1" s="19"/>
      <c r="J1" s="19"/>
    </row>
    <row r="2" spans="1:10" x14ac:dyDescent="0.2">
      <c r="C2" s="30" t="s">
        <v>23</v>
      </c>
      <c r="D2" s="30"/>
      <c r="E2" s="30"/>
    </row>
    <row r="3" spans="1:10" x14ac:dyDescent="0.2">
      <c r="C3" s="7">
        <f>+'Financial Statements'!B4</f>
        <v>2022</v>
      </c>
      <c r="D3" s="7">
        <f>+'Financial Statements'!C4</f>
        <v>2021</v>
      </c>
      <c r="E3" s="7">
        <f>+'Financial Statements'!D4</f>
        <v>2020</v>
      </c>
    </row>
    <row r="4" spans="1:10" x14ac:dyDescent="0.2">
      <c r="A4" s="18">
        <v>1</v>
      </c>
      <c r="B4" s="7" t="s">
        <v>99</v>
      </c>
    </row>
    <row r="5" spans="1:10" x14ac:dyDescent="0.2">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0" x14ac:dyDescent="0.2">
      <c r="A6" s="18">
        <f t="shared" ref="A6:A13" si="0">+A5+0.1</f>
        <v>1.2000000000000002</v>
      </c>
      <c r="B6" s="1" t="s">
        <v>101</v>
      </c>
      <c r="C6" s="24">
        <f>('Financial Statements'!B36+'Financial Statements'!B37+'Financial Statements'!B38)/'Financial Statements'!B56</f>
        <v>0.49673338442155579</v>
      </c>
      <c r="D6" s="24">
        <f>('Financial Statements'!C36+'Financial Statements'!C37+'Financial Statements'!C38)/'Financial Statements'!C56</f>
        <v>0.70860927152317876</v>
      </c>
      <c r="E6" s="24">
        <f>('Financial Statements'!D36+'Financial Statements'!D37+'Financial Statements'!D38)/'Financial Statements'!D56</f>
        <v>1.0158550933657204</v>
      </c>
    </row>
    <row r="7" spans="1:10" x14ac:dyDescent="0.2">
      <c r="A7" s="18">
        <f t="shared" si="0"/>
        <v>1.3000000000000003</v>
      </c>
      <c r="B7" s="1" t="s">
        <v>102</v>
      </c>
      <c r="C7" s="24">
        <f>'Financial Statements'!B36/'Financial Statements'!B56</f>
        <v>0.15356340351469652</v>
      </c>
      <c r="D7" s="24">
        <f>'Financial Statements'!C36/'Financial Statements'!C56</f>
        <v>0.27844853005634318</v>
      </c>
      <c r="E7" s="24">
        <f>'Financial Statements'!D36/'Financial Statements'!D56</f>
        <v>0.36071049035979963</v>
      </c>
    </row>
    <row r="8" spans="1:10" x14ac:dyDescent="0.2">
      <c r="A8" s="18">
        <f t="shared" si="0"/>
        <v>1.4000000000000004</v>
      </c>
      <c r="B8" s="1" t="s">
        <v>103</v>
      </c>
      <c r="C8" s="24">
        <f>'Financial Statements'!B42/(('Financial Statements'!B17-'Financial Statements'!B79)/365)</f>
        <v>1228.1708953554833</v>
      </c>
      <c r="D8" s="24">
        <f>'Financial Statements'!C42/(('Financial Statements'!C17-'Financial Statements'!C79)/365)</f>
        <v>1509.5279575499187</v>
      </c>
      <c r="E8" s="24">
        <f>'Financial Statements'!D42/(('Financial Statements'!D17-'Financial Statements'!D79)/365)</f>
        <v>1899.7263870780819</v>
      </c>
    </row>
    <row r="9" spans="1:10" x14ac:dyDescent="0.2">
      <c r="A9" s="18">
        <f t="shared" si="0"/>
        <v>1.5000000000000004</v>
      </c>
      <c r="B9" s="1" t="s">
        <v>104</v>
      </c>
      <c r="C9" s="24">
        <f>('Financial Statements'!B39/'Financial Statements'!B12)*365</f>
        <v>8.0756980666171607</v>
      </c>
      <c r="D9" s="24">
        <f>('Financial Statements'!C39/'Financial Statements'!C12)*365</f>
        <v>11.27659274770989</v>
      </c>
      <c r="E9" s="24">
        <f>('Financial Statements'!D39/'Financial Statements'!D12)*365</f>
        <v>8.7418833562358831</v>
      </c>
    </row>
    <row r="10" spans="1:10" x14ac:dyDescent="0.2">
      <c r="A10" s="18">
        <f t="shared" si="0"/>
        <v>1.6000000000000005</v>
      </c>
      <c r="B10" s="1" t="s">
        <v>105</v>
      </c>
      <c r="C10" s="24">
        <f>('Financial Statements'!B51/'Financial Statements'!B12)*365</f>
        <v>104.68527730310539</v>
      </c>
      <c r="D10" s="24">
        <f>('Financial Statements'!C51/'Financial Statements'!C12)*365</f>
        <v>93.851071222315596</v>
      </c>
      <c r="E10" s="24">
        <f>('Financial Statements'!D51/'Financial Statements'!D12)*365</f>
        <v>91.048189715674198</v>
      </c>
    </row>
    <row r="11" spans="1:10" x14ac:dyDescent="0.2">
      <c r="A11" s="18">
        <f t="shared" si="0"/>
        <v>1.7000000000000006</v>
      </c>
      <c r="B11" s="1" t="s">
        <v>106</v>
      </c>
      <c r="C11" s="24">
        <f>('Financial Statements'!B38/'Financial Statements'!B12)*365</f>
        <v>46.018090236461397</v>
      </c>
      <c r="D11" s="24">
        <f>('Financial Statements'!C38/'Financial Statements'!C12)*365</f>
        <v>45.034392739258436</v>
      </c>
      <c r="E11" s="24">
        <f>('Financial Statements'!D38/'Financial Statements'!D12)*365</f>
        <v>34.700605688875257</v>
      </c>
    </row>
    <row r="12" spans="1:10" x14ac:dyDescent="0.2">
      <c r="A12" s="18">
        <f t="shared" si="0"/>
        <v>1.8000000000000007</v>
      </c>
      <c r="B12" s="1" t="s">
        <v>107</v>
      </c>
      <c r="C12" s="24">
        <f>C9+C11-C10</f>
        <v>-50.59148900002684</v>
      </c>
      <c r="D12" s="24">
        <f t="shared" ref="D12:E12" si="1">D9+D11-D10</f>
        <v>-37.540085735347269</v>
      </c>
      <c r="E12" s="24">
        <f t="shared" si="1"/>
        <v>-47.60570067056306</v>
      </c>
    </row>
    <row r="13" spans="1:10" x14ac:dyDescent="0.2">
      <c r="A13" s="18">
        <f t="shared" si="0"/>
        <v>1.9000000000000008</v>
      </c>
      <c r="B13" s="1" t="s">
        <v>108</v>
      </c>
      <c r="C13" s="24">
        <f>(C14/'Financial Statements'!B8)*100</f>
        <v>-7.8576717859244081</v>
      </c>
      <c r="D13" s="24">
        <f>(D14/'Financial Statements'!C8)*100</f>
        <v>-5.9879666609260918</v>
      </c>
      <c r="E13" s="24">
        <f>(E14/'Financial Statements'!D8)*100</f>
        <v>-8.0560260823634398</v>
      </c>
    </row>
    <row r="14" spans="1:10" x14ac:dyDescent="0.2">
      <c r="A14" s="18"/>
      <c r="B14" s="3" t="s">
        <v>109</v>
      </c>
      <c r="C14">
        <f>'Financial Statements'!B38+'Financial Statements'!B39-'Financial Statements'!B51</f>
        <v>-30985</v>
      </c>
      <c r="D14">
        <f>'Financial Statements'!C38+'Financial Statements'!C39-'Financial Statements'!C51</f>
        <v>-21905</v>
      </c>
      <c r="E14">
        <f>'Financial Statements'!D38+'Financial Statements'!D39-'Financial Statements'!D51</f>
        <v>-22115</v>
      </c>
    </row>
    <row r="15" spans="1:10" x14ac:dyDescent="0.2">
      <c r="A15" s="18"/>
    </row>
    <row r="16" spans="1:10" x14ac:dyDescent="0.2">
      <c r="A16" s="18">
        <f>+A4+1</f>
        <v>2</v>
      </c>
      <c r="B16" s="17" t="s">
        <v>110</v>
      </c>
    </row>
    <row r="17" spans="1:6" x14ac:dyDescent="0.2">
      <c r="A17" s="18">
        <f>+A16+0.1</f>
        <v>2.1</v>
      </c>
      <c r="B17" s="1" t="s">
        <v>9</v>
      </c>
      <c r="C17">
        <f>'Financial Statements'!B13</f>
        <v>170782</v>
      </c>
      <c r="D17">
        <f>'Financial Statements'!C13</f>
        <v>152836</v>
      </c>
      <c r="E17">
        <f>'Financial Statements'!D13</f>
        <v>104956</v>
      </c>
    </row>
    <row r="18" spans="1:6" x14ac:dyDescent="0.2">
      <c r="A18" s="18">
        <f>+A17+0.1</f>
        <v>2.2000000000000002</v>
      </c>
      <c r="B18" s="1" t="s">
        <v>111</v>
      </c>
      <c r="C18" s="24">
        <f>C19/'Financial Statements'!B8</f>
        <v>0.3310467428130896</v>
      </c>
      <c r="D18" s="24">
        <f>D19/'Financial Statements'!C8</f>
        <v>0.32866979938056462</v>
      </c>
      <c r="E18" s="24">
        <f>E19/'Financial Statements'!D8</f>
        <v>0.2817478097736007</v>
      </c>
    </row>
    <row r="19" spans="1:6" x14ac:dyDescent="0.2">
      <c r="A19" s="18"/>
      <c r="B19" s="3" t="s">
        <v>112</v>
      </c>
      <c r="C19">
        <f>'Financial Statements'!B18+'Financial Statements'!B79</f>
        <v>130541</v>
      </c>
      <c r="D19">
        <f>'Financial Statements'!C18+'Financial Statements'!C79</f>
        <v>120233</v>
      </c>
      <c r="E19">
        <f>'Financial Statements'!D18+'Financial Statements'!D79</f>
        <v>77344</v>
      </c>
    </row>
    <row r="20" spans="1:6" x14ac:dyDescent="0.2">
      <c r="A20" s="18">
        <f>+A18+0.1</f>
        <v>2.3000000000000003</v>
      </c>
      <c r="B20" s="1" t="s">
        <v>113</v>
      </c>
      <c r="C20" s="24">
        <f>C21/'Financial Statements'!B8</f>
        <v>0.30288744395528594</v>
      </c>
      <c r="D20" s="24">
        <f>D21/'Financial Statements'!C8</f>
        <v>0.29782377527561593</v>
      </c>
      <c r="E20" s="24">
        <f>E21/'Financial Statements'!D8</f>
        <v>0.24147314354406862</v>
      </c>
    </row>
    <row r="21" spans="1:6" x14ac:dyDescent="0.2">
      <c r="A21" s="18"/>
      <c r="B21" s="3" t="s">
        <v>114</v>
      </c>
      <c r="C21">
        <f>'Financial Statements'!B8-'Financial Statements'!B12-'Financial Statements'!B17</f>
        <v>119437</v>
      </c>
      <c r="D21">
        <f>'Financial Statements'!C8-'Financial Statements'!C12-'Financial Statements'!C17</f>
        <v>108949</v>
      </c>
      <c r="E21">
        <f>'Financial Statements'!D8-'Financial Statements'!D12-'Financial Statements'!D17</f>
        <v>66288</v>
      </c>
    </row>
    <row r="22" spans="1:6" x14ac:dyDescent="0.2">
      <c r="A22" s="18">
        <f>+A20+0.1</f>
        <v>2.4000000000000004</v>
      </c>
      <c r="B22" s="1" t="s">
        <v>115</v>
      </c>
      <c r="C22" s="24">
        <f>'Financial Statements'!B22/'Financial Statements'!B8</f>
        <v>0.25309640705199732</v>
      </c>
      <c r="D22" s="24">
        <f>'Financial Statements'!C22/'Financial Statements'!C8</f>
        <v>0.25881793355694238</v>
      </c>
      <c r="E22" s="24">
        <f>'Financial Statements'!D22/'Financial Statements'!D8</f>
        <v>0.20913611278072236</v>
      </c>
    </row>
    <row r="23" spans="1:6" x14ac:dyDescent="0.2">
      <c r="A23" s="18"/>
    </row>
    <row r="24" spans="1:6" x14ac:dyDescent="0.2">
      <c r="A24" s="18">
        <f>+A16+1</f>
        <v>3</v>
      </c>
      <c r="B24" s="7" t="s">
        <v>116</v>
      </c>
    </row>
    <row r="25" spans="1:6" x14ac:dyDescent="0.2">
      <c r="A25" s="18">
        <f>+A24+0.1</f>
        <v>3.1</v>
      </c>
      <c r="B25" s="1" t="s">
        <v>117</v>
      </c>
      <c r="C25" s="24">
        <f>('Financial Statements'!B55+'Financial Statements'!B59)/'Financial Statements'!B68</f>
        <v>2.1725410483107042</v>
      </c>
      <c r="D25" s="24">
        <f>('Financial Statements'!C55+'Financial Statements'!C59)/'Financial Statements'!C68</f>
        <v>1.8817403708987162</v>
      </c>
      <c r="E25" s="24">
        <f>('Financial Statements'!D55+'Financial Statements'!D59)/'Financial Statements'!D68</f>
        <v>1.6443471739696047</v>
      </c>
      <c r="F25" t="s">
        <v>150</v>
      </c>
    </row>
    <row r="26" spans="1:6" x14ac:dyDescent="0.2">
      <c r="A26" s="18">
        <f t="shared" ref="A26:A30" si="2">+A25+0.1</f>
        <v>3.2</v>
      </c>
      <c r="B26" s="1" t="s">
        <v>118</v>
      </c>
      <c r="C26" s="24">
        <f>('Financial Statements'!B55+'Financial Statements'!B59)/'Financial Statements'!B48</f>
        <v>0.31207778769967826</v>
      </c>
      <c r="D26" s="24">
        <f>('Financial Statements'!C55+'Financial Statements'!C59)/'Financial Statements'!C48</f>
        <v>0.33822884200090025</v>
      </c>
      <c r="E26" s="24">
        <f>('Financial Statements'!D55+'Financial Statements'!D59)/'Financial Statements'!D48</f>
        <v>0.33171960677765155</v>
      </c>
      <c r="F26" t="s">
        <v>150</v>
      </c>
    </row>
    <row r="27" spans="1:6" x14ac:dyDescent="0.2">
      <c r="A27" s="18">
        <f t="shared" si="2"/>
        <v>3.3000000000000003</v>
      </c>
      <c r="B27" s="1" t="s">
        <v>119</v>
      </c>
      <c r="C27" s="24">
        <f>'Financial Statements'!B59/('Financial Statements'!B59+'Financial Statements'!B68)</f>
        <v>0.66135359651409131</v>
      </c>
      <c r="D27" s="24">
        <f>'Financial Statements'!C59/('Financial Statements'!C59+'Financial Statements'!C68)</f>
        <v>0.63361518269878514</v>
      </c>
      <c r="E27" s="24">
        <f>'Financial Statements'!D59/('Financial Statements'!D59+'Financial Statements'!D68)</f>
        <v>0.60160603880345842</v>
      </c>
      <c r="F27" t="s">
        <v>150</v>
      </c>
    </row>
    <row r="28" spans="1:6" x14ac:dyDescent="0.2">
      <c r="A28" s="18">
        <f t="shared" si="2"/>
        <v>3.4000000000000004</v>
      </c>
      <c r="B28" s="1" t="s">
        <v>120</v>
      </c>
      <c r="C28" s="24">
        <f>C21/'Financial Statements'!B114</f>
        <v>41.68830715532286</v>
      </c>
      <c r="D28" s="24">
        <f>D21/'Financial Statements'!C114</f>
        <v>40.546706363974693</v>
      </c>
      <c r="E28" s="24">
        <f>E21/'Financial Statements'!D114</f>
        <v>22.081279147235175</v>
      </c>
    </row>
    <row r="29" spans="1:6" x14ac:dyDescent="0.2">
      <c r="A29" s="18">
        <f t="shared" si="2"/>
        <v>3.5000000000000004</v>
      </c>
      <c r="B29" s="1" t="s">
        <v>121</v>
      </c>
      <c r="C29" s="24">
        <f>C21/('Financial Statements'!B114+'Financial Statements'!B105*-1)</f>
        <v>9.6258059316569948</v>
      </c>
      <c r="D29" s="24">
        <f>D21/('Financial Statements'!C114+'Financial Statements'!C105*-1)</f>
        <v>9.5260120661012504</v>
      </c>
      <c r="E29" s="24">
        <f>E21/('Financial Statements'!D114+'Financial Statements'!D105*-1)</f>
        <v>4.2408035314439259</v>
      </c>
      <c r="F29" t="s">
        <v>151</v>
      </c>
    </row>
    <row r="30" spans="1:6" x14ac:dyDescent="0.2">
      <c r="A30" s="18">
        <f t="shared" si="2"/>
        <v>3.6000000000000005</v>
      </c>
      <c r="B30" s="1" t="s">
        <v>122</v>
      </c>
      <c r="C30" s="24">
        <f>C31/('Financial Statements'!B28/1000)</f>
        <v>6.5763928903046152</v>
      </c>
      <c r="D30" s="24">
        <f>D31/('Financial Statements'!C28/1000)</f>
        <v>6.2019865022773004</v>
      </c>
      <c r="E30" s="24">
        <f>E31/('Financial Statements'!D28/1000)</f>
        <v>4.3830478108037703</v>
      </c>
      <c r="F30" s="25" t="s">
        <v>152</v>
      </c>
    </row>
    <row r="31" spans="1:6" x14ac:dyDescent="0.2">
      <c r="A31" s="18"/>
      <c r="B31" s="3" t="s">
        <v>123</v>
      </c>
      <c r="C31">
        <f>'Financial Statements'!B91+'Financial Statements'!B96+'Financial Statements'!B104+'Financial Statements'!B105</f>
        <v>107365</v>
      </c>
      <c r="D31">
        <f>'Financial Statements'!C91+'Financial Statements'!C96+'Financial Statements'!C104+'Financial Statements'!C105</f>
        <v>104596</v>
      </c>
      <c r="E31">
        <f>'Financial Statements'!D91+'Financial Statements'!D96+'Financial Statements'!D104+'Financial Statements'!D105</f>
        <v>76827</v>
      </c>
    </row>
    <row r="32" spans="1:6" x14ac:dyDescent="0.2">
      <c r="A32" s="18"/>
      <c r="C32" t="s">
        <v>159</v>
      </c>
    </row>
    <row r="33" spans="1:6" x14ac:dyDescent="0.2">
      <c r="A33" s="18">
        <f>+A24+1</f>
        <v>4</v>
      </c>
      <c r="B33" s="17" t="s">
        <v>124</v>
      </c>
    </row>
    <row r="34" spans="1:6" x14ac:dyDescent="0.2">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6" x14ac:dyDescent="0.2">
      <c r="A35" s="18">
        <f t="shared" ref="A35:A37" si="3">+A34+0.1</f>
        <v>4.1999999999999993</v>
      </c>
      <c r="B35" s="1" t="s">
        <v>126</v>
      </c>
      <c r="C35" s="24">
        <f>'Financial Statements'!B8/'Financial Statements'!B45</f>
        <v>9.3626801529073767</v>
      </c>
      <c r="D35" s="24">
        <f>'Financial Statements'!C8/'Financial Statements'!C45</f>
        <v>9.2752789046653152</v>
      </c>
      <c r="E35" s="24">
        <f>'Financial Statements'!D8/'Financial Statements'!D45</f>
        <v>7.4665451776097482</v>
      </c>
      <c r="F35" s="26" t="s">
        <v>153</v>
      </c>
    </row>
    <row r="36" spans="1:6" x14ac:dyDescent="0.2">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row>
    <row r="37" spans="1:6" x14ac:dyDescent="0.2">
      <c r="A37" s="18">
        <f t="shared" si="3"/>
        <v>4.3999999999999986</v>
      </c>
      <c r="B37" s="1" t="s">
        <v>128</v>
      </c>
      <c r="C37" s="24">
        <f>'Financial Statements'!B22/'Financial Statements'!B48</f>
        <v>0.28292440929256851</v>
      </c>
      <c r="D37" s="24">
        <f>'Financial Statements'!C22/'Financial Statements'!C48</f>
        <v>0.26974205275183616</v>
      </c>
      <c r="E37" s="24">
        <f>'Financial Statements'!D22/'Financial Statements'!D48</f>
        <v>0.1772557180259843</v>
      </c>
    </row>
    <row r="38" spans="1:6" x14ac:dyDescent="0.2">
      <c r="A38" s="18"/>
    </row>
    <row r="39" spans="1:6" x14ac:dyDescent="0.2">
      <c r="A39" s="18">
        <f>+A33+1</f>
        <v>5</v>
      </c>
      <c r="B39" s="17" t="s">
        <v>129</v>
      </c>
    </row>
    <row r="40" spans="1:6" x14ac:dyDescent="0.2">
      <c r="A40" s="18">
        <f>+A39+0.1</f>
        <v>5.0999999999999996</v>
      </c>
      <c r="B40" s="1" t="s">
        <v>130</v>
      </c>
      <c r="C40" s="24">
        <f>137.2/C41</f>
        <v>22.454991816693941</v>
      </c>
      <c r="D40" s="24">
        <f t="shared" ref="D40:E40" si="4">137.2/D41</f>
        <v>24.456327985739748</v>
      </c>
      <c r="E40" s="24">
        <f t="shared" si="4"/>
        <v>41.829268292682926</v>
      </c>
    </row>
    <row r="41" spans="1:6" x14ac:dyDescent="0.2">
      <c r="A41" s="18">
        <f t="shared" ref="A41:A44" si="5">+A40+0.1</f>
        <v>5.1999999999999993</v>
      </c>
      <c r="B41" s="3" t="s">
        <v>131</v>
      </c>
      <c r="C41">
        <f>'Financial Statements'!B25</f>
        <v>6.11</v>
      </c>
      <c r="D41">
        <f>'Financial Statements'!C25</f>
        <v>5.61</v>
      </c>
      <c r="E41">
        <f>'Financial Statements'!D25</f>
        <v>3.28</v>
      </c>
    </row>
    <row r="42" spans="1:6" x14ac:dyDescent="0.2">
      <c r="A42" s="18">
        <f t="shared" si="5"/>
        <v>5.2999999999999989</v>
      </c>
      <c r="B42" s="1" t="s">
        <v>132</v>
      </c>
      <c r="C42" s="12">
        <f>137.2/C43</f>
        <v>44.203946297758122</v>
      </c>
      <c r="D42" s="12">
        <f t="shared" ref="D42:E42" si="6">137.2/D43</f>
        <v>36.675652033602788</v>
      </c>
      <c r="E42" s="12">
        <f t="shared" si="6"/>
        <v>36.806057037909973</v>
      </c>
    </row>
    <row r="43" spans="1:6" x14ac:dyDescent="0.2">
      <c r="A43" s="18">
        <f t="shared" si="5"/>
        <v>5.3999999999999986</v>
      </c>
      <c r="B43" s="3" t="s">
        <v>133</v>
      </c>
      <c r="C43" s="24">
        <f>'Financial Statements'!B68/('Financial Statements'!B28/1000)</f>
        <v>3.1037952827971451</v>
      </c>
      <c r="D43" s="24">
        <f>'Financial Statements'!C68/('Financial Statements'!C28/1000)</f>
        <v>3.740901453484597</v>
      </c>
      <c r="E43" s="24">
        <f>'Financial Statements'!D68/('Financial Statements'!D28/1000)</f>
        <v>3.7276473233382479</v>
      </c>
      <c r="F43" s="27" t="s">
        <v>154</v>
      </c>
    </row>
    <row r="44" spans="1:6" x14ac:dyDescent="0.2">
      <c r="A44" s="18">
        <f t="shared" si="5"/>
        <v>5.4999999999999982</v>
      </c>
      <c r="B44" s="1" t="s">
        <v>134</v>
      </c>
      <c r="C44" s="24">
        <f>'Financial Statements'!B102/'Financial Statements'!B22*-1</f>
        <v>0.14870294480125848</v>
      </c>
      <c r="D44" s="24">
        <f>'Financial Statements'!C102/'Financial Statements'!C22*-1</f>
        <v>0.15279890156316012</v>
      </c>
      <c r="E44" s="24">
        <f>'Financial Statements'!D102/'Financial Statements'!D22*-1</f>
        <v>0.24526658654264863</v>
      </c>
    </row>
    <row r="45" spans="1:6" x14ac:dyDescent="0.2">
      <c r="A45" s="18"/>
      <c r="B45" s="3" t="s">
        <v>135</v>
      </c>
      <c r="C45" s="24">
        <f>('Financial Statements'!B102*-1)/('Financial Statements'!B28/1000)</f>
        <v>0.90905087211857494</v>
      </c>
      <c r="D45" s="24">
        <f>('Financial Statements'!C102*-1)/('Financial Statements'!C28/1000)</f>
        <v>0.85781615672153533</v>
      </c>
      <c r="E45" s="24">
        <f>('Financial Statements'!D102*-1)/('Financial Statements'!D28/1000)</f>
        <v>0.80333341434558025</v>
      </c>
      <c r="F45" t="s">
        <v>155</v>
      </c>
    </row>
    <row r="46" spans="1:6" x14ac:dyDescent="0.2">
      <c r="A46" s="18">
        <f>+A44+0.1</f>
        <v>5.5999999999999979</v>
      </c>
      <c r="B46" s="1" t="s">
        <v>136</v>
      </c>
      <c r="C46" s="24">
        <f>C45/137.2</f>
        <v>6.6257352195231416E-3</v>
      </c>
      <c r="D46" s="24">
        <f t="shared" ref="D46:E46" si="7">D45/137.2</f>
        <v>6.2523043492823281E-3</v>
      </c>
      <c r="E46" s="24">
        <f t="shared" si="7"/>
        <v>5.8551998130144337E-3</v>
      </c>
    </row>
    <row r="47" spans="1:6" x14ac:dyDescent="0.2">
      <c r="A47" s="18">
        <v>5.7</v>
      </c>
      <c r="B47" s="1" t="s">
        <v>137</v>
      </c>
      <c r="C47" s="24">
        <f>'Financial Statements'!B22/'Financial Statements'!B68</f>
        <v>1.9695887275023682</v>
      </c>
      <c r="D47" s="24">
        <f>'Financial Statements'!C22/'Financial Statements'!C68</f>
        <v>1.5007132667617689</v>
      </c>
      <c r="E47" s="24">
        <f>'Financial Statements'!D22/'Financial Statements'!D68</f>
        <v>0.87866358530127486</v>
      </c>
    </row>
    <row r="48" spans="1:6" x14ac:dyDescent="0.2">
      <c r="A48" s="18">
        <v>5.8</v>
      </c>
      <c r="B48" s="1" t="s">
        <v>138</v>
      </c>
      <c r="C48" s="24">
        <f>C21/('Financial Statements'!B55+'Financial Statements'!B59+'Financial Statements'!B68)</f>
        <v>0.74295684845016452</v>
      </c>
      <c r="D48" s="24">
        <f>D21/('Financial Statements'!C55+'Financial Statements'!C59+'Financial Statements'!C68)</f>
        <v>0.59924976211298675</v>
      </c>
      <c r="E48" s="24">
        <f>E21/('Financial Statements'!D55+'Financial Statements'!D59+'Financial Statements'!D68)</f>
        <v>0.38365773618321669</v>
      </c>
      <c r="F48" s="27" t="s">
        <v>156</v>
      </c>
    </row>
    <row r="49" spans="1:6" x14ac:dyDescent="0.2">
      <c r="A49" s="18">
        <v>5.9</v>
      </c>
      <c r="B49" s="1" t="s">
        <v>128</v>
      </c>
      <c r="C49" s="24">
        <f>'Financial Statements'!B22/'Financial Statements'!B48</f>
        <v>0.28292440929256851</v>
      </c>
      <c r="D49" s="24">
        <f>'Financial Statements'!C22/'Financial Statements'!C48</f>
        <v>0.26974205275183616</v>
      </c>
      <c r="E49" s="24">
        <f>'Financial Statements'!D22/'Financial Statements'!D48</f>
        <v>0.1772557180259843</v>
      </c>
    </row>
    <row r="50" spans="1:6" x14ac:dyDescent="0.2">
      <c r="A50" s="18">
        <v>6</v>
      </c>
      <c r="B50" s="1" t="s">
        <v>139</v>
      </c>
      <c r="C50" s="24">
        <f>C51/C19</f>
        <v>17.820787084517509</v>
      </c>
      <c r="D50" s="24">
        <f t="shared" ref="D50:E50" si="8">D51/D19</f>
        <v>0.33096570824981492</v>
      </c>
      <c r="E50" s="24">
        <f t="shared" si="8"/>
        <v>0.39802699627637567</v>
      </c>
    </row>
    <row r="51" spans="1:6" x14ac:dyDescent="0.2">
      <c r="A51" s="18"/>
      <c r="B51" s="3" t="s">
        <v>140</v>
      </c>
      <c r="C51" s="32">
        <f>(137.2*('Financial Statements'!B28/1000))+'Financial Statements'!B55+'Financial Statements'!B59-'Financial Statements'!B36</f>
        <v>2326343.3668</v>
      </c>
      <c r="D51" s="32">
        <f>'Financial Statements'!C68+'Financial Statements'!C104+'Financial Statements'!C105-'Financial Statements'!C36</f>
        <v>39793</v>
      </c>
      <c r="E51" s="32">
        <f>'Financial Statements'!D68+'Financial Statements'!D104+'Financial Statements'!D105-'Financial Statements'!D36</f>
        <v>30785</v>
      </c>
      <c r="F51" s="28" t="s">
        <v>157</v>
      </c>
    </row>
    <row r="52" spans="1:6" x14ac:dyDescent="0.2">
      <c r="C52" s="25"/>
      <c r="D52" s="25"/>
      <c r="E52" s="25"/>
    </row>
    <row r="53" spans="1:6" x14ac:dyDescent="0.2">
      <c r="C53" s="25"/>
      <c r="D53" s="25"/>
      <c r="E53" s="25"/>
    </row>
    <row r="54" spans="1:6" x14ac:dyDescent="0.2">
      <c r="C54" s="25"/>
      <c r="D54" s="25"/>
      <c r="E54" s="25"/>
    </row>
    <row r="55" spans="1:6" x14ac:dyDescent="0.2">
      <c r="A55" s="18"/>
      <c r="B55" s="17" t="s">
        <v>160</v>
      </c>
      <c r="C55" s="25"/>
      <c r="D55" s="25"/>
      <c r="E55" s="25"/>
    </row>
    <row r="56" spans="1:6" x14ac:dyDescent="0.2">
      <c r="A56" s="18"/>
      <c r="B56" s="1" t="s">
        <v>163</v>
      </c>
      <c r="C56" s="25">
        <f>(('Financial Statements'!B6-'Financial Statements'!D6)/'Financial Statements'!D6)*100</f>
        <v>43.240451738868479</v>
      </c>
      <c r="D56" s="25"/>
      <c r="E56" s="25"/>
    </row>
    <row r="57" spans="1:6" x14ac:dyDescent="0.2">
      <c r="B57" s="1" t="s">
        <v>164</v>
      </c>
      <c r="C57" s="25">
        <f>(('Financial Statements'!B7-'Financial Statements'!D7)/'Financial Statements'!D7)*100</f>
        <v>45.307617914000893</v>
      </c>
      <c r="D57" s="25"/>
      <c r="E57" s="25"/>
    </row>
    <row r="58" spans="1:6" x14ac:dyDescent="0.2">
      <c r="B58" s="1" t="s">
        <v>6</v>
      </c>
      <c r="C58" s="25">
        <f>(('Financial Statements'!B8-'Financial Statements'!D8)/'Financial Statements'!D8)*100</f>
        <v>43.645338141813745</v>
      </c>
      <c r="D58" s="25"/>
      <c r="E58" s="25"/>
    </row>
    <row r="59" spans="1:6" x14ac:dyDescent="0.2">
      <c r="B59" s="1" t="s">
        <v>89</v>
      </c>
      <c r="C59" s="25">
        <f>(('Financial Statements'!B13-'Financial Statements'!D13)/'Financial Statements'!D13)*100</f>
        <v>62.717710278592932</v>
      </c>
      <c r="D59" s="25"/>
      <c r="E59" s="25"/>
    </row>
    <row r="60" spans="1:6" x14ac:dyDescent="0.2">
      <c r="B60" s="1" t="s">
        <v>161</v>
      </c>
      <c r="C60" s="25">
        <f>(('Financial Statements'!B15-'Financial Statements'!D15)/'Financial Statements'!D15)*100</f>
        <v>39.99040102389079</v>
      </c>
      <c r="D60" s="25"/>
      <c r="E60" s="25"/>
    </row>
    <row r="61" spans="1:6" x14ac:dyDescent="0.2">
      <c r="B61" s="1" t="s">
        <v>162</v>
      </c>
      <c r="C61" s="25">
        <f>(('Financial Statements'!B16-'Financial Statements'!D16)/'Financial Statements'!D16)*100</f>
        <v>25.999196625828482</v>
      </c>
      <c r="D61" s="25"/>
      <c r="E61" s="25"/>
    </row>
    <row r="62" spans="1:6" x14ac:dyDescent="0.2">
      <c r="B62" s="1" t="s">
        <v>13</v>
      </c>
      <c r="C62" s="25">
        <f>(('Financial Statements'!B17-'Financial Statements'!D17)/'Financial Statements'!D17)*100</f>
        <v>32.784214337436637</v>
      </c>
      <c r="D62" s="25"/>
      <c r="E62" s="25"/>
    </row>
    <row r="63" spans="1:6" x14ac:dyDescent="0.2">
      <c r="B63" s="1" t="s">
        <v>33</v>
      </c>
      <c r="C63" s="25">
        <f>(('Financial Statements'!B48-'Financial Statements'!D48)/'Financial Statements'!D48)*100</f>
        <v>8.9126488168749685</v>
      </c>
      <c r="D63" s="25"/>
      <c r="E63" s="25"/>
    </row>
    <row r="64" spans="1:6" x14ac:dyDescent="0.2">
      <c r="B64" s="1" t="s">
        <v>41</v>
      </c>
      <c r="C64" s="25">
        <f>(('Financial Statements'!B62-'Financial Statements'!D62)/'Financial Statements'!D62)*100</f>
        <v>16.837814108737607</v>
      </c>
      <c r="D64" s="25"/>
      <c r="E64" s="25"/>
    </row>
    <row r="65" spans="2:5" x14ac:dyDescent="0.2">
      <c r="B65" s="1" t="s">
        <v>165</v>
      </c>
      <c r="C65" s="25">
        <f>(('Financial Statements'!B68-'Financial Statements'!D68)/'Financial Statements'!D68)*100</f>
        <v>-22.447542815163992</v>
      </c>
      <c r="D65" s="25"/>
      <c r="E65" s="25"/>
    </row>
    <row r="67" spans="2:5" x14ac:dyDescent="0.2">
      <c r="B67" s="17" t="s">
        <v>166</v>
      </c>
    </row>
    <row r="68" spans="2:5" x14ac:dyDescent="0.2">
      <c r="B68" s="1" t="s">
        <v>146</v>
      </c>
      <c r="C68" s="25">
        <f>'Financial Statements'!B12/'Financial Statements'!B8*100</f>
        <v>56.690369438639912</v>
      </c>
      <c r="D68" s="25">
        <f>'Financial Statements'!C12/'Financial Statements'!C8*100</f>
        <v>58.220640374832222</v>
      </c>
      <c r="E68" s="25">
        <f>'Financial Statements'!D12/'Financial Statements'!D8*100</f>
        <v>61.76675227218913</v>
      </c>
    </row>
    <row r="69" spans="2:5" x14ac:dyDescent="0.2">
      <c r="B69" s="1" t="s">
        <v>89</v>
      </c>
      <c r="C69" s="25">
        <f>'Financial Statements'!B13/'Financial Statements'!B8*100</f>
        <v>43.309630561360088</v>
      </c>
      <c r="D69" s="25">
        <f>'Financial Statements'!C13/'Financial Statements'!C8*100</f>
        <v>41.779359625167778</v>
      </c>
      <c r="E69" s="25">
        <f>'Financial Statements'!D13/'Financial Statements'!D8*100</f>
        <v>38.233247727810863</v>
      </c>
    </row>
    <row r="70" spans="2:5" x14ac:dyDescent="0.2">
      <c r="B70" s="1" t="s">
        <v>161</v>
      </c>
      <c r="C70" s="25">
        <f>'Financial Statements'!B15/'Financial Statements'!B8*100</f>
        <v>6.6571483637986653</v>
      </c>
      <c r="D70" s="25">
        <f>'Financial Statements'!C15/'Financial Statements'!C8*100</f>
        <v>5.9904269074427923</v>
      </c>
      <c r="E70" s="25">
        <f>'Financial Statements'!D15/'Financial Statements'!D8*100</f>
        <v>6.8309564140393064</v>
      </c>
    </row>
    <row r="71" spans="2:5" x14ac:dyDescent="0.2">
      <c r="B71" s="1" t="s">
        <v>162</v>
      </c>
      <c r="C71" s="25">
        <f>'Financial Statements'!B16/'Financial Statements'!B8*100</f>
        <v>6.3637378020328264</v>
      </c>
      <c r="D71" s="25">
        <f>'Financial Statements'!C16/'Financial Statements'!C8*100</f>
        <v>6.0065551901633878</v>
      </c>
      <c r="E71" s="25">
        <f>'Financial Statements'!D16/'Financial Statements'!D8*100</f>
        <v>7.254976959364698</v>
      </c>
    </row>
    <row r="72" spans="2:5" x14ac:dyDescent="0.2">
      <c r="B72" s="1" t="s">
        <v>13</v>
      </c>
      <c r="C72" s="25">
        <f>'Financial Statements'!B17/'Financial Statements'!B8*100</f>
        <v>13.020886165831492</v>
      </c>
      <c r="D72" s="25">
        <f>'Financial Statements'!C17/'Financial Statements'!C8*100</f>
        <v>11.99698209760618</v>
      </c>
      <c r="E72" s="25">
        <f>'Financial Statements'!D17/'Financial Statements'!D8*100</f>
        <v>14.085933373404004</v>
      </c>
    </row>
    <row r="73" spans="2:5" x14ac:dyDescent="0.2">
      <c r="B73" s="1" t="s">
        <v>14</v>
      </c>
      <c r="C73" s="25">
        <f>'Financial Statements'!B18/'Financial Statements'!B8*100</f>
        <v>30.288744395528592</v>
      </c>
      <c r="D73" s="25">
        <f>'Financial Statements'!C18/'Financial Statements'!C8*100</f>
        <v>29.782377527561593</v>
      </c>
      <c r="E73" s="25">
        <f>'Financial Statements'!D18/'Financial Statements'!D8*100</f>
        <v>24.147314354406863</v>
      </c>
    </row>
    <row r="74" spans="2:5" x14ac:dyDescent="0.2">
      <c r="B74" s="1" t="s">
        <v>93</v>
      </c>
      <c r="C74" s="25">
        <f>'Financial Statements'!B22/'Financial Statements'!B8*100</f>
        <v>25.309640705199733</v>
      </c>
      <c r="D74" s="25">
        <f>'Financial Statements'!C22/'Financial Statements'!C8*100</f>
        <v>25.881793355694239</v>
      </c>
      <c r="E74" s="25">
        <f>'Financial Statements'!D22/'Financial Statements'!D8*100</f>
        <v>20.913611278072235</v>
      </c>
    </row>
    <row r="75" spans="2:5" x14ac:dyDescent="0.2">
      <c r="C75" s="25"/>
      <c r="D75" s="25"/>
      <c r="E75" s="25"/>
    </row>
    <row r="76" spans="2:5" x14ac:dyDescent="0.2">
      <c r="B76" s="33" t="s">
        <v>94</v>
      </c>
      <c r="C76" s="25">
        <f>'Financial Statements'!B113/'Financial Statements'!B20</f>
        <v>0.1643367505436471</v>
      </c>
      <c r="D76" s="25">
        <f>'Financial Statements'!C113/'Financial Statements'!C20</f>
        <v>0.23244846942045841</v>
      </c>
      <c r="E76" s="25">
        <f>'Financial Statements'!D113/'Financial Statements'!D20</f>
        <v>0.14161362924982487</v>
      </c>
    </row>
    <row r="77" spans="2:5" x14ac:dyDescent="0.2">
      <c r="B77" s="33" t="s">
        <v>167</v>
      </c>
      <c r="C77" s="25">
        <f>('Financial Statements'!B96*-1)/'Financial Statements'!B8*100</f>
        <v>2.715505873283155</v>
      </c>
      <c r="D77" s="25">
        <f>('Financial Statements'!C96*-1)/'Financial Statements'!C8*100</f>
        <v>3.0302036264033658</v>
      </c>
      <c r="E77" s="25">
        <f>('Financial Statements'!D96*-1)/'Financial Statements'!D8*100</f>
        <v>2.6625138881299746</v>
      </c>
    </row>
    <row r="78" spans="2:5" x14ac:dyDescent="0.2">
      <c r="B78" s="33" t="s">
        <v>168</v>
      </c>
      <c r="C78" s="25">
        <f>'Financial Statements'!B47/'Financial Statements'!B8*100</f>
        <v>55.119088677446179</v>
      </c>
      <c r="D78" s="25">
        <f>'Financial Statements'!C47/'Financial Statements'!C8*100</f>
        <v>59.091294281020289</v>
      </c>
      <c r="E78" s="25">
        <f>'Financial Statements'!D47/'Financial Statements'!D8*100</f>
        <v>65.633936214778785</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Dylan Cox</cp:lastModifiedBy>
  <dcterms:created xsi:type="dcterms:W3CDTF">2020-05-18T16:32:37Z</dcterms:created>
  <dcterms:modified xsi:type="dcterms:W3CDTF">2023-11-16T21:22:26Z</dcterms:modified>
</cp:coreProperties>
</file>