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Quill Capital Partners\"/>
    </mc:Choice>
  </mc:AlternateContent>
  <xr:revisionPtr revIDLastSave="0" documentId="8_{DA74C95E-DB8D-4F3A-A84C-A89F81BB072F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Instructions" sheetId="2" r:id="rId1"/>
    <sheet name="Financial Statements" sheetId="1" r:id="rId2"/>
    <sheet name="List of Ratios" sheetId="3" r:id="rId3"/>
    <sheet name="Growth Rates" sheetId="4" r:id="rId4"/>
    <sheet name="Margins" sheetId="5" r:id="rId5"/>
    <sheet name="Additional" sheetId="6" r:id="rId6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" l="1"/>
  <c r="E47" i="3"/>
  <c r="D48" i="3"/>
  <c r="E48" i="3"/>
  <c r="C47" i="3"/>
  <c r="D40" i="3"/>
  <c r="E40" i="3"/>
  <c r="D41" i="3"/>
  <c r="E41" i="3"/>
  <c r="C40" i="3"/>
  <c r="E33" i="3"/>
  <c r="D33" i="3"/>
  <c r="C33" i="3"/>
  <c r="D34" i="3"/>
  <c r="E34" i="3"/>
  <c r="E30" i="3"/>
  <c r="D30" i="3"/>
  <c r="C30" i="3"/>
  <c r="D28" i="3"/>
  <c r="E28" i="3"/>
  <c r="C28" i="3"/>
  <c r="D27" i="3"/>
  <c r="E27" i="3"/>
  <c r="C27" i="3"/>
  <c r="D26" i="3"/>
  <c r="E26" i="3"/>
  <c r="C26" i="3"/>
  <c r="D25" i="3"/>
  <c r="E25" i="3"/>
  <c r="C25" i="3"/>
  <c r="D24" i="3"/>
  <c r="E24" i="3"/>
  <c r="C24" i="3"/>
  <c r="D21" i="3"/>
  <c r="E21" i="3"/>
  <c r="C21" i="3"/>
  <c r="D17" i="3"/>
  <c r="E17" i="3"/>
  <c r="C17" i="3"/>
  <c r="D18" i="3"/>
  <c r="E18" i="3"/>
  <c r="C18" i="3"/>
  <c r="D20" i="3"/>
  <c r="E20" i="3"/>
  <c r="C20" i="3"/>
  <c r="D16" i="3"/>
  <c r="E16" i="3"/>
  <c r="C16" i="3"/>
  <c r="D11" i="3"/>
  <c r="E11" i="3"/>
  <c r="C11" i="3"/>
  <c r="D8" i="3"/>
  <c r="E8" i="3"/>
  <c r="C8" i="3"/>
  <c r="D7" i="3" l="1"/>
  <c r="E7" i="3"/>
  <c r="C7" i="3"/>
  <c r="D5" i="3"/>
  <c r="E5" i="3"/>
  <c r="C5" i="3"/>
  <c r="D50" i="3"/>
  <c r="E50" i="3"/>
  <c r="C50" i="3"/>
  <c r="E44" i="3"/>
  <c r="D44" i="3"/>
  <c r="C44" i="3"/>
  <c r="C41" i="3"/>
  <c r="D21" i="4"/>
  <c r="D22" i="4"/>
  <c r="D23" i="4"/>
  <c r="C22" i="4"/>
  <c r="C23" i="4"/>
  <c r="C21" i="4"/>
  <c r="D8" i="4"/>
  <c r="D11" i="4"/>
  <c r="D12" i="4"/>
  <c r="D15" i="4"/>
  <c r="D16" i="4"/>
  <c r="D17" i="4"/>
  <c r="D18" i="4"/>
  <c r="D19" i="4"/>
  <c r="D20" i="4"/>
  <c r="C18" i="4"/>
  <c r="C19" i="4"/>
  <c r="C20" i="4"/>
  <c r="C17" i="4"/>
  <c r="C16" i="4"/>
  <c r="C15" i="4"/>
  <c r="C12" i="4"/>
  <c r="C11" i="4"/>
  <c r="C8" i="4"/>
  <c r="D5" i="4"/>
  <c r="D6" i="4"/>
  <c r="D4" i="4"/>
  <c r="C6" i="4"/>
  <c r="C5" i="4"/>
  <c r="C4" i="4"/>
  <c r="D4" i="6"/>
  <c r="E4" i="6"/>
  <c r="D5" i="6"/>
  <c r="E5" i="6"/>
  <c r="D6" i="6"/>
  <c r="E6" i="6"/>
  <c r="C6" i="6"/>
  <c r="C5" i="6"/>
  <c r="C4" i="6"/>
  <c r="D5" i="5"/>
  <c r="E5" i="5"/>
  <c r="D6" i="5"/>
  <c r="E6" i="5"/>
  <c r="D7" i="5"/>
  <c r="E7" i="5"/>
  <c r="D8" i="5"/>
  <c r="E8" i="5"/>
  <c r="D9" i="5"/>
  <c r="E9" i="5"/>
  <c r="D10" i="5"/>
  <c r="E10" i="5"/>
  <c r="C10" i="5"/>
  <c r="C9" i="5"/>
  <c r="C8" i="5"/>
  <c r="C7" i="5"/>
  <c r="C6" i="5"/>
  <c r="C5" i="5"/>
  <c r="A15" i="4" l="1"/>
  <c r="A16" i="4" s="1"/>
  <c r="A17" i="4" s="1"/>
  <c r="A18" i="4" s="1"/>
  <c r="A19" i="4" s="1"/>
  <c r="A20" i="4" s="1"/>
  <c r="A21" i="4" s="1"/>
  <c r="A22" i="4" s="1"/>
  <c r="A23" i="4" s="1"/>
  <c r="A4" i="4"/>
  <c r="A5" i="4" s="1"/>
  <c r="A6" i="4" s="1"/>
  <c r="A11" i="4" s="1"/>
  <c r="A12" i="4" s="1"/>
  <c r="C29" i="1"/>
  <c r="D45" i="3" s="1"/>
  <c r="D29" i="1"/>
  <c r="B29" i="1"/>
  <c r="D108" i="1"/>
  <c r="C108" i="1"/>
  <c r="B108" i="1"/>
  <c r="D99" i="1"/>
  <c r="C99" i="1"/>
  <c r="B99" i="1"/>
  <c r="C45" i="3" l="1"/>
  <c r="E45" i="3"/>
  <c r="D68" i="1"/>
  <c r="C68" i="1"/>
  <c r="B68" i="1"/>
  <c r="D61" i="1"/>
  <c r="C61" i="1"/>
  <c r="B61" i="1"/>
  <c r="D56" i="1"/>
  <c r="E6" i="3" s="1"/>
  <c r="C56" i="1"/>
  <c r="B56" i="1"/>
  <c r="D47" i="1"/>
  <c r="C47" i="1"/>
  <c r="B47" i="1"/>
  <c r="D42" i="1"/>
  <c r="C42" i="1"/>
  <c r="D13" i="3" s="1"/>
  <c r="B42" i="1"/>
  <c r="C13" i="3" s="1"/>
  <c r="C12" i="3" s="1"/>
  <c r="D17" i="1"/>
  <c r="C17" i="1"/>
  <c r="B17" i="1"/>
  <c r="D12" i="1"/>
  <c r="C12" i="1"/>
  <c r="B12" i="1"/>
  <c r="D8" i="1"/>
  <c r="C8" i="1"/>
  <c r="B8" i="1"/>
  <c r="E2" i="3"/>
  <c r="D2" i="3"/>
  <c r="C2" i="3"/>
  <c r="D33" i="1"/>
  <c r="D73" i="1" s="1"/>
  <c r="C33" i="1"/>
  <c r="C73" i="1" s="1"/>
  <c r="B33" i="1"/>
  <c r="B73" i="1" s="1"/>
  <c r="D10" i="3" l="1"/>
  <c r="E9" i="3"/>
  <c r="E35" i="3"/>
  <c r="C42" i="3"/>
  <c r="E10" i="3"/>
  <c r="D12" i="3"/>
  <c r="D42" i="3"/>
  <c r="C35" i="3"/>
  <c r="C9" i="3"/>
  <c r="E13" i="3"/>
  <c r="E12" i="3" s="1"/>
  <c r="E42" i="3"/>
  <c r="C34" i="3"/>
  <c r="C10" i="3"/>
  <c r="D35" i="3"/>
  <c r="D9" i="3"/>
  <c r="B62" i="1"/>
  <c r="E4" i="3"/>
  <c r="B13" i="1"/>
  <c r="C6" i="3"/>
  <c r="C62" i="1"/>
  <c r="C69" i="1" s="1"/>
  <c r="C13" i="1"/>
  <c r="B48" i="1"/>
  <c r="C4" i="3"/>
  <c r="D13" i="1"/>
  <c r="D4" i="3"/>
  <c r="D6" i="3"/>
  <c r="B18" i="1"/>
  <c r="C48" i="1"/>
  <c r="D62" i="1"/>
  <c r="D69" i="1" s="1"/>
  <c r="D48" i="1"/>
  <c r="B69" i="1"/>
  <c r="A46" i="3"/>
  <c r="A48" i="3" s="1"/>
  <c r="A15" i="3"/>
  <c r="A16" i="3" s="1"/>
  <c r="A17" i="3" s="1"/>
  <c r="A19" i="3" s="1"/>
  <c r="A21" i="3" s="1"/>
  <c r="A4" i="3"/>
  <c r="A5" i="3" s="1"/>
  <c r="A6" i="3" s="1"/>
  <c r="A7" i="3" s="1"/>
  <c r="A8" i="3" s="1"/>
  <c r="A9" i="3" s="1"/>
  <c r="A10" i="3" s="1"/>
  <c r="A11" i="3" s="1"/>
  <c r="A12" i="3" s="1"/>
  <c r="D18" i="1" l="1"/>
  <c r="B20" i="1"/>
  <c r="C49" i="3"/>
  <c r="C18" i="1"/>
  <c r="A23" i="3"/>
  <c r="A24" i="3" s="1"/>
  <c r="A25" i="3" s="1"/>
  <c r="A26" i="3" s="1"/>
  <c r="A27" i="3" s="1"/>
  <c r="A28" i="3" s="1"/>
  <c r="A29" i="3" s="1"/>
  <c r="C20" i="1" l="1"/>
  <c r="D49" i="3"/>
  <c r="B22" i="1"/>
  <c r="D20" i="1"/>
  <c r="E49" i="3"/>
  <c r="A32" i="3"/>
  <c r="A33" i="3" s="1"/>
  <c r="A34" i="3" s="1"/>
  <c r="A35" i="3" s="1"/>
  <c r="A36" i="3" s="1"/>
  <c r="A38" i="3"/>
  <c r="A39" i="3" s="1"/>
  <c r="A40" i="3" s="1"/>
  <c r="A41" i="3" s="1"/>
  <c r="A42" i="3" s="1"/>
  <c r="A43" i="3" s="1"/>
  <c r="A45" i="3" s="1"/>
  <c r="A47" i="3" s="1"/>
  <c r="A49" i="3" s="1"/>
  <c r="D22" i="1" l="1"/>
  <c r="C36" i="3"/>
  <c r="C19" i="3"/>
  <c r="C48" i="3"/>
  <c r="B76" i="1"/>
  <c r="B91" i="1" s="1"/>
  <c r="C46" i="3"/>
  <c r="C22" i="1"/>
  <c r="D19" i="3" l="1"/>
  <c r="D36" i="3"/>
  <c r="C76" i="1"/>
  <c r="C91" i="1" s="1"/>
  <c r="D46" i="3"/>
  <c r="C39" i="3"/>
  <c r="C43" i="3"/>
  <c r="B109" i="1"/>
  <c r="C29" i="3"/>
  <c r="E36" i="3"/>
  <c r="E19" i="3"/>
  <c r="E46" i="3"/>
  <c r="D76" i="1"/>
  <c r="D91" i="1" s="1"/>
  <c r="D109" i="1" l="1"/>
  <c r="E29" i="3"/>
  <c r="E39" i="3"/>
  <c r="E43" i="3"/>
  <c r="D39" i="3"/>
  <c r="D43" i="3"/>
  <c r="C109" i="1"/>
  <c r="D29" i="3"/>
</calcChain>
</file>

<file path=xl/sharedStrings.xml><?xml version="1.0" encoding="utf-8"?>
<sst xmlns="http://schemas.openxmlformats.org/spreadsheetml/2006/main" count="211" uniqueCount="184">
  <si>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</si>
  <si>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</si>
  <si>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</si>
  <si>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</si>
  <si>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</si>
  <si>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</si>
  <si>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</si>
  <si>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</si>
  <si>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</si>
  <si>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</si>
  <si>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</si>
  <si>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</si>
  <si>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</si>
  <si>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</si>
  <si>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</si>
  <si>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</si>
  <si>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</si>
  <si>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</si>
  <si>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</si>
  <si>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</si>
  <si>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</si>
  <si>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</si>
  <si>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</si>
  <si>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</si>
  <si>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</si>
  <si>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</si>
  <si>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</si>
  <si>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</si>
  <si>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</si>
  <si>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</si>
  <si>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</si>
  <si>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</si>
  <si>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</si>
  <si>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</si>
  <si>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</si>
  <si>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</si>
  <si>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</si>
  <si>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</si>
  <si>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</si>
  <si>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</si>
  <si>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</si>
  <si>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</si>
  <si>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</si>
  <si>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</si>
  <si>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</si>
  <si>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</si>
  <si>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</si>
  <si>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</si>
  <si>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</si>
  <si>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</si>
  <si>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</si>
  <si>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</si>
  <si>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</si>
  <si>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</si>
  <si>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</si>
  <si>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</si>
  <si>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</si>
  <si>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</si>
  <si>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</si>
  <si>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</si>
  <si>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</si>
  <si>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</si>
  <si>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</si>
  <si>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</si>
  <si>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</si>
  <si>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</si>
  <si>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</si>
  <si>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</si>
  <si>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</si>
  <si>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</si>
  <si>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</si>
  <si>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</si>
  <si>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</si>
  <si>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</si>
  <si>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</si>
  <si>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</si>
  <si>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</si>
  <si>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</si>
  <si>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</si>
  <si>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</si>
  <si>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</si>
  <si>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</si>
  <si>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</si>
  <si>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</si>
  <si>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</si>
  <si>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</si>
  <si>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</si>
  <si>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</si>
  <si>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</si>
  <si>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</si>
  <si>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</si>
  <si>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</si>
  <si>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</si>
  <si>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</si>
  <si>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</si>
  <si>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</si>
  <si>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</si>
  <si>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</si>
  <si>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</si>
  <si>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</si>
  <si>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</si>
  <si>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</si>
  <si>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</si>
  <si>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</si>
  <si>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</si>
  <si>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</si>
  <si>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</si>
  <si>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</si>
  <si>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</si>
  <si>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</si>
  <si>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</si>
  <si>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</si>
  <si>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</si>
  <si>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</si>
  <si>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</si>
  <si>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</si>
  <si>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</si>
  <si>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</si>
  <si>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</si>
  <si>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</si>
  <si>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</si>
  <si>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</si>
  <si>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</si>
  <si>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</si>
  <si>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</si>
  <si>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</si>
  <si>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</si>
  <si>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</si>
  <si>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</si>
  <si>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</si>
  <si>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</si>
  <si>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</si>
  <si>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</si>
  <si>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</si>
  <si>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</si>
  <si>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</si>
  <si>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</si>
  <si>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</si>
  <si>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</si>
  <si>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</si>
  <si>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</si>
  <si>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</si>
  <si>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</si>
  <si>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</si>
  <si>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</si>
  <si>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</si>
  <si>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</si>
  <si>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</si>
  <si>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</si>
  <si>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</si>
  <si>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Shares outstanding </t>
  </si>
  <si>
    <t>Sales Growth Rates</t>
  </si>
  <si>
    <t>Product Sales Growth Rate</t>
  </si>
  <si>
    <t>Total Net Sales Growth Rate</t>
  </si>
  <si>
    <t>Gross profit Growth Rate</t>
  </si>
  <si>
    <t>Opperating Expenses Growth Rates</t>
  </si>
  <si>
    <t>Research and Development Expenses Growth Rate</t>
  </si>
  <si>
    <t>Selling, General and Administrative Expenses Growth Rate</t>
  </si>
  <si>
    <t>Main Line Items Growth Rates</t>
  </si>
  <si>
    <t xml:space="preserve">Cash and Cahs Equivalents Growth Rate </t>
  </si>
  <si>
    <t xml:space="preserve">Marketable Securities Growth Rate </t>
  </si>
  <si>
    <t>Accounts Receivable, Net Growth Rate</t>
  </si>
  <si>
    <t xml:space="preserve">Inventories Growth Rate </t>
  </si>
  <si>
    <t xml:space="preserve">Vendor Non-Trade Receivables Growth Rate </t>
  </si>
  <si>
    <t>Other Current Assets Growth Rate</t>
  </si>
  <si>
    <t xml:space="preserve">Marketable Securities (Non-Current) Growth Rate </t>
  </si>
  <si>
    <t>Property, Plant and Equipment, Net Growth Rate</t>
  </si>
  <si>
    <t>Other Non-Current Assets Growth Rate</t>
  </si>
  <si>
    <t>Services Sales Growth Rate</t>
  </si>
  <si>
    <t xml:space="preserve">Calculated Margins as a Percentage of Net Sales </t>
  </si>
  <si>
    <t>COGS (Cost of Goods Sold)</t>
  </si>
  <si>
    <t xml:space="preserve">Gross Profit </t>
  </si>
  <si>
    <t>Research and Development Expenses</t>
  </si>
  <si>
    <t>Selling, General and Administrative Expenses</t>
  </si>
  <si>
    <t xml:space="preserve">Operating Income </t>
  </si>
  <si>
    <t xml:space="preserve">Net Profit </t>
  </si>
  <si>
    <t>Income Tax Rate</t>
  </si>
  <si>
    <t>Capex as a % of Sales</t>
  </si>
  <si>
    <t xml:space="preserve">Capex as a % of Fixed Assets </t>
  </si>
  <si>
    <t>Additional % Calculations</t>
  </si>
  <si>
    <t>Feedback</t>
  </si>
  <si>
    <t>Growth Rate for 2022 and 2021</t>
  </si>
  <si>
    <t>Growth Rate for 2021 and 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</si>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</sst>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6" fontId="0" fillId="0" borderId="0" xfId="1" applyNumberFormat="1" applyFont="1"/>
    <xf numFmtId="166" fontId="2" fillId="0" borderId="1" xfId="1" applyNumberFormat="1" applyFont="1" applyBorder="1"/>
    <xf numFmtId="166" fontId="2" fillId="0" borderId="2" xfId="1" applyNumberFormat="1" applyFont="1" applyBorder="1"/>
    <xf numFmtId="166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7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6" fontId="0" fillId="0" borderId="0" xfId="1" applyNumberFormat="1" applyFont="1" applyFill="1"/>
    <xf numFmtId="166" fontId="2" fillId="0" borderId="1" xfId="1" applyNumberFormat="1" applyFont="1" applyFill="1" applyBorder="1"/>
    <xf numFmtId="165" fontId="0" fillId="0" borderId="0" xfId="0" applyNumberFormat="1"/>
    <xf numFmtId="164" fontId="0" fillId="0" borderId="0" xfId="0" applyNumberFormat="1"/>
    <xf numFmtId="166" fontId="2" fillId="0" borderId="2" xfId="1" applyNumberFormat="1" applyFont="1" applyFill="1" applyBorder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8" fillId="0" borderId="0" xfId="1" applyFont="1"/>
    <xf numFmtId="165" fontId="0" fillId="0" borderId="0" xfId="1" applyFont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zoomScale="158" workbookViewId="0">
      <selection activeCell="A32" sqref="A32"/>
    </sheetView>
  </sheetViews>
  <sheetFormatPr defaultColWidth="8.7265625" defaultRowHeight="14.5" x14ac:dyDescent="0.35"/>
  <cols>
    <col min="1" max="1" width="104.45312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zoomScaleNormal="100" workbookViewId="0">
      <selection activeCell="C29" sqref="C29"/>
    </sheetView>
  </sheetViews>
  <sheetFormatPr defaultColWidth="8.7265625" defaultRowHeight="14.5" x14ac:dyDescent="0.35"/>
  <cols>
    <col min="1" max="1" width="59" customWidth="1"/>
    <col min="2" max="4" width="13.7265625" bestFit="1" customWidth="1"/>
    <col min="5" max="5" width="11.179687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33" t="s">
        <v>1</v>
      </c>
      <c r="B2" s="33"/>
      <c r="C2" s="33"/>
      <c r="D2" s="33"/>
    </row>
    <row r="3" spans="1:10" x14ac:dyDescent="0.35">
      <c r="B3" s="32" t="s">
        <v>23</v>
      </c>
      <c r="C3" s="32"/>
      <c r="D3" s="32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27">
        <f>+B20-B21</f>
        <v>99803</v>
      </c>
      <c r="C22" s="27">
        <f>+C20-C21</f>
        <v>94680</v>
      </c>
      <c r="D22" s="27">
        <f>+D20-D21</f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29" spans="1:4" x14ac:dyDescent="0.35">
      <c r="A29" s="1" t="s">
        <v>150</v>
      </c>
      <c r="B29" s="36">
        <f>(B27+B28)/2</f>
        <v>16270891</v>
      </c>
      <c r="C29" s="26">
        <f>(C27+C28)/2</f>
        <v>16783095.5</v>
      </c>
      <c r="D29" s="26">
        <f>(D27+D28)/2</f>
        <v>17440166.5</v>
      </c>
    </row>
    <row r="31" spans="1:4" x14ac:dyDescent="0.35">
      <c r="A31" s="33" t="s">
        <v>24</v>
      </c>
      <c r="B31" s="33"/>
      <c r="C31" s="33"/>
      <c r="D31" s="33"/>
    </row>
    <row r="32" spans="1:4" x14ac:dyDescent="0.35">
      <c r="B32" s="32" t="s">
        <v>142</v>
      </c>
      <c r="C32" s="32"/>
      <c r="D32" s="32"/>
    </row>
    <row r="33" spans="1:5" x14ac:dyDescent="0.35">
      <c r="B33" s="7">
        <f>+B4</f>
        <v>2022</v>
      </c>
      <c r="C33" s="7">
        <f>+C4</f>
        <v>2021</v>
      </c>
      <c r="D33" s="7">
        <f>+D4</f>
        <v>2020</v>
      </c>
    </row>
    <row r="35" spans="1:5" x14ac:dyDescent="0.35">
      <c r="A35" t="s">
        <v>25</v>
      </c>
    </row>
    <row r="36" spans="1:5" x14ac:dyDescent="0.35">
      <c r="A36" s="1" t="s">
        <v>26</v>
      </c>
      <c r="B36" s="23">
        <v>23646</v>
      </c>
      <c r="C36" s="23">
        <v>34940</v>
      </c>
      <c r="D36" s="23">
        <v>38016</v>
      </c>
    </row>
    <row r="37" spans="1:5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5" x14ac:dyDescent="0.35">
      <c r="A39" s="1" t="s">
        <v>29</v>
      </c>
      <c r="B39" s="23">
        <v>4946</v>
      </c>
      <c r="C39" s="23">
        <v>6580</v>
      </c>
      <c r="D39" s="23">
        <v>4061</v>
      </c>
    </row>
    <row r="40" spans="1:5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35">
      <c r="A42" s="8" t="s">
        <v>31</v>
      </c>
      <c r="B42" s="24">
        <f>+SUM(B36:B41)</f>
        <v>135405</v>
      </c>
      <c r="C42" s="24">
        <f>+SUM(C36:C41)</f>
        <v>134836</v>
      </c>
      <c r="D42" s="24">
        <f>+SUM(D36:D41)</f>
        <v>143713</v>
      </c>
    </row>
    <row r="43" spans="1:5" x14ac:dyDescent="0.35">
      <c r="A43" t="s">
        <v>48</v>
      </c>
      <c r="B43" s="12"/>
      <c r="C43" s="12"/>
      <c r="D43" s="12"/>
    </row>
    <row r="44" spans="1:5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35">
      <c r="A45" s="1" t="s">
        <v>32</v>
      </c>
      <c r="B45" s="23">
        <v>42117</v>
      </c>
      <c r="C45" s="23">
        <v>39440</v>
      </c>
      <c r="D45" s="23">
        <v>36766</v>
      </c>
    </row>
    <row r="46" spans="1:5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35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5" ht="15" thickBot="1" x14ac:dyDescent="0.4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E48" s="25"/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35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" thickTop="1" x14ac:dyDescent="0.35"/>
    <row r="71" spans="1:4" x14ac:dyDescent="0.35">
      <c r="A71" s="33" t="s">
        <v>55</v>
      </c>
      <c r="B71" s="33"/>
      <c r="C71" s="33"/>
      <c r="D71" s="33"/>
    </row>
    <row r="72" spans="1:4" x14ac:dyDescent="0.35">
      <c r="B72" s="32" t="s">
        <v>23</v>
      </c>
      <c r="C72" s="32"/>
      <c r="D72" s="32"/>
    </row>
    <row r="73" spans="1:4" x14ac:dyDescent="0.35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24">
        <f>+SUM(B93:B98)</f>
        <v>-22354</v>
      </c>
      <c r="C99" s="24">
        <f>+SUM(C93:C98)</f>
        <v>-14545</v>
      </c>
      <c r="D99" s="24">
        <f>+SUM(D93:D98)</f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23">
        <v>-14841</v>
      </c>
      <c r="C102" s="23">
        <v>-14467</v>
      </c>
      <c r="D102" s="23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0"/>
  <sheetViews>
    <sheetView zoomScale="90" zoomScaleNormal="90" workbookViewId="0">
      <selection activeCell="C2" sqref="C2"/>
    </sheetView>
  </sheetViews>
  <sheetFormatPr defaultColWidth="8.7265625" defaultRowHeight="14.5" x14ac:dyDescent="0.35"/>
  <cols>
    <col min="1" max="1" width="4.7265625" customWidth="1"/>
    <col min="2" max="2" width="44.7265625" customWidth="1"/>
    <col min="3" max="3" width="16.453125" bestFit="1" customWidth="1"/>
    <col min="4" max="4" width="15" bestFit="1" customWidth="1"/>
    <col min="5" max="5" width="17.7265625" bestFit="1" customWidth="1"/>
    <col min="7" max="7" width="27.81640625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29" t="s">
        <v>180</v>
      </c>
      <c r="H1" s="19"/>
      <c r="I1" s="19"/>
      <c r="J1" s="19"/>
    </row>
    <row r="2" spans="1:10" x14ac:dyDescent="0.35">
      <c r="C2" s="7">
        <f>+'Financial Statements'!B4</f>
        <v>2022</v>
      </c>
      <c r="D2" s="7">
        <f>+'Financial Statements'!C4</f>
        <v>2021</v>
      </c>
      <c r="E2" s="7">
        <f>+'Financial Statements'!D4</f>
        <v>2020</v>
      </c>
    </row>
    <row r="3" spans="1:10" x14ac:dyDescent="0.35">
      <c r="A3" s="18">
        <v>1</v>
      </c>
      <c r="B3" s="7" t="s">
        <v>99</v>
      </c>
    </row>
    <row r="4" spans="1:10" x14ac:dyDescent="0.35">
      <c r="A4" s="18">
        <f t="shared" ref="A4:A12" si="0">+A3+0.1</f>
        <v>1.1000000000000001</v>
      </c>
      <c r="B4" s="1" t="s">
        <v>100</v>
      </c>
      <c r="C4" s="35">
        <f>'Financial Statements'!B42/'Financial Statements'!B56</f>
        <v>0.87935602862672257</v>
      </c>
      <c r="D4" s="35">
        <f>'Financial Statements'!C42/'Financial Statements'!C56</f>
        <v>1.0745531195957954</v>
      </c>
      <c r="E4" s="35">
        <f>'Financial Statements'!D42/'Financial Statements'!D56</f>
        <v>1.3636044481554577</v>
      </c>
    </row>
    <row r="5" spans="1:10" x14ac:dyDescent="0.35">
      <c r="A5" s="18">
        <f t="shared" si="0"/>
        <v>1.2000000000000002</v>
      </c>
      <c r="B5" s="1" t="s">
        <v>101</v>
      </c>
      <c r="C5" s="35">
        <f>('Financial Statements'!B42-'Financial Statements'!B39)/'Financial Statements'!B56</f>
        <v>0.84723539114961488</v>
      </c>
      <c r="D5" s="35">
        <f>('Financial Statements'!C42-'Financial Statements'!C39)/'Financial Statements'!C56</f>
        <v>1.0221149018576519</v>
      </c>
      <c r="E5" s="35">
        <f>('Financial Statements'!D42-'Financial Statements'!D39)/'Financial Statements'!D56</f>
        <v>1.325072111735236</v>
      </c>
      <c r="G5" t="s">
        <v>183</v>
      </c>
    </row>
    <row r="6" spans="1:10" x14ac:dyDescent="0.35">
      <c r="A6" s="18">
        <f t="shared" si="0"/>
        <v>1.3000000000000003</v>
      </c>
      <c r="B6" s="1" t="s">
        <v>102</v>
      </c>
      <c r="C6" s="35">
        <f>('Financial Statements'!B36-'Financial Statements'!B99)/'Financial Statements'!B56</f>
        <v>0.29873621592134147</v>
      </c>
      <c r="D6" s="35">
        <f>('Financial Statements'!C36-'Financial Statements'!C99)/'Financial Statements'!C56</f>
        <v>0.39436249312644944</v>
      </c>
      <c r="E6" s="35">
        <f>('Financial Statements'!D36-'Financial Statements'!D99)/'Financial Statements'!D56</f>
        <v>0.40140617883710339</v>
      </c>
    </row>
    <row r="7" spans="1:10" x14ac:dyDescent="0.35">
      <c r="A7" s="18">
        <f t="shared" si="0"/>
        <v>1.4000000000000004</v>
      </c>
      <c r="B7" s="1" t="s">
        <v>103</v>
      </c>
      <c r="C7" s="35">
        <f>'Financial Statements'!B42/(('Financial Statements'!B17-'Financial Statements'!B79)/365)</f>
        <v>1228.1708953554833</v>
      </c>
      <c r="D7" s="35">
        <f>'Financial Statements'!C42/(('Financial Statements'!C17-'Financial Statements'!C79)/365)</f>
        <v>1509.5279575499187</v>
      </c>
      <c r="E7" s="35">
        <f>'Financial Statements'!D42/(('Financial Statements'!D17-'Financial Statements'!D79)/365)</f>
        <v>1899.7263870780819</v>
      </c>
    </row>
    <row r="8" spans="1:10" x14ac:dyDescent="0.35">
      <c r="A8" s="18">
        <f t="shared" si="0"/>
        <v>1.5000000000000004</v>
      </c>
      <c r="B8" s="1" t="s">
        <v>104</v>
      </c>
      <c r="C8" s="35">
        <f>('Financial Statements'!B39/'Financial Statements'!B12)*365</f>
        <v>8.0756980666171607</v>
      </c>
      <c r="D8" s="35">
        <f>('Financial Statements'!C39/'Financial Statements'!C12)*365</f>
        <v>11.27659274770989</v>
      </c>
      <c r="E8" s="35">
        <f>('Financial Statements'!D39/'Financial Statements'!D12)*365</f>
        <v>8.7418833562358831</v>
      </c>
    </row>
    <row r="9" spans="1:10" x14ac:dyDescent="0.35">
      <c r="A9" s="18">
        <f t="shared" si="0"/>
        <v>1.6000000000000005</v>
      </c>
      <c r="B9" s="1" t="s">
        <v>105</v>
      </c>
      <c r="C9" s="35">
        <f>('Financial Statements'!B51/'Financial Statements'!B12)*365</f>
        <v>104.68527730310539</v>
      </c>
      <c r="D9" s="35">
        <f>('Financial Statements'!C51/'Financial Statements'!C12)*365</f>
        <v>93.851071222315596</v>
      </c>
      <c r="E9" s="35">
        <f>('Financial Statements'!D51/'Financial Statements'!D12)*365</f>
        <v>91.048189715674198</v>
      </c>
    </row>
    <row r="10" spans="1:10" x14ac:dyDescent="0.35">
      <c r="A10" s="18">
        <f t="shared" si="0"/>
        <v>1.7000000000000006</v>
      </c>
      <c r="B10" s="1" t="s">
        <v>106</v>
      </c>
      <c r="C10" s="35">
        <f>('Financial Statements'!B38/'Financial Statements'!B8)*365</f>
        <v>26.087825363656648</v>
      </c>
      <c r="D10" s="35">
        <f>('Financial Statements'!C38/'Financial Statements'!C8)*365</f>
        <v>26.219311841713207</v>
      </c>
      <c r="E10" s="35">
        <f>('Financial Statements'!D38/'Financial Statements'!D8)*365</f>
        <v>21.433437152796749</v>
      </c>
    </row>
    <row r="11" spans="1:10" x14ac:dyDescent="0.35">
      <c r="A11" s="18">
        <f t="shared" si="0"/>
        <v>1.8000000000000007</v>
      </c>
      <c r="B11" s="1" t="s">
        <v>107</v>
      </c>
      <c r="C11" s="35">
        <f>C8+C10-C9</f>
        <v>-70.521753872831582</v>
      </c>
      <c r="D11" s="35">
        <f t="shared" ref="D11:E11" si="1">D8+D10-D9</f>
        <v>-56.355166632892498</v>
      </c>
      <c r="E11" s="35">
        <f t="shared" si="1"/>
        <v>-60.872869206641568</v>
      </c>
    </row>
    <row r="12" spans="1:10" x14ac:dyDescent="0.35">
      <c r="A12" s="18">
        <f t="shared" si="0"/>
        <v>1.9000000000000008</v>
      </c>
      <c r="B12" s="1" t="s">
        <v>108</v>
      </c>
      <c r="C12" s="35">
        <f>(C13/'Financial Statements'!B8)*100</f>
        <v>-4.7110527276784806</v>
      </c>
      <c r="D12" s="35">
        <f>(D13/'Financial Statements'!C8)*100</f>
        <v>2.5572895737486232</v>
      </c>
      <c r="E12" s="35">
        <f>(E13/'Financial Statements'!D8)*100</f>
        <v>13.959528623208204</v>
      </c>
    </row>
    <row r="13" spans="1:10" x14ac:dyDescent="0.35">
      <c r="A13" s="18"/>
      <c r="B13" s="3" t="s">
        <v>109</v>
      </c>
      <c r="C13" s="35">
        <f>'Financial Statements'!B42-'Financial Statements'!B56</f>
        <v>-18577</v>
      </c>
      <c r="D13" s="35">
        <f>'Financial Statements'!C42-'Financial Statements'!C56</f>
        <v>9355</v>
      </c>
      <c r="E13" s="35">
        <f>'Financial Statements'!D42-'Financial Statements'!D56</f>
        <v>38321</v>
      </c>
    </row>
    <row r="14" spans="1:10" x14ac:dyDescent="0.35">
      <c r="A14" s="18"/>
      <c r="C14" s="35"/>
      <c r="D14" s="35"/>
      <c r="E14" s="35"/>
    </row>
    <row r="15" spans="1:10" x14ac:dyDescent="0.35">
      <c r="A15" s="18">
        <f>+A3+1</f>
        <v>2</v>
      </c>
      <c r="B15" s="17" t="s">
        <v>110</v>
      </c>
      <c r="C15" s="35"/>
      <c r="D15" s="35"/>
      <c r="E15" s="35"/>
    </row>
    <row r="16" spans="1:10" x14ac:dyDescent="0.35">
      <c r="A16" s="18">
        <f>+A15+0.1</f>
        <v>2.1</v>
      </c>
      <c r="B16" s="1" t="s">
        <v>9</v>
      </c>
      <c r="C16" s="34">
        <f>'Financial Statements'!B13</f>
        <v>170782</v>
      </c>
      <c r="D16" s="34">
        <f>'Financial Statements'!C13</f>
        <v>152836</v>
      </c>
      <c r="E16" s="34">
        <f>'Financial Statements'!D13</f>
        <v>104956</v>
      </c>
    </row>
    <row r="17" spans="1:5" x14ac:dyDescent="0.35">
      <c r="A17" s="18">
        <f>+A16+0.1</f>
        <v>2.2000000000000002</v>
      </c>
      <c r="B17" s="1" t="s">
        <v>111</v>
      </c>
      <c r="C17" s="34">
        <f>(C18/'Financial Statements'!B8)</f>
        <v>0.3310467428130896</v>
      </c>
      <c r="D17" s="34">
        <f>(D18/'Financial Statements'!C8)</f>
        <v>0.32866979938056462</v>
      </c>
      <c r="E17" s="34">
        <f>(E18/'Financial Statements'!D8)</f>
        <v>0.2817478097736007</v>
      </c>
    </row>
    <row r="18" spans="1:5" x14ac:dyDescent="0.35">
      <c r="A18" s="18"/>
      <c r="B18" s="3" t="s">
        <v>112</v>
      </c>
      <c r="C18" s="34">
        <f>(C20+'Financial Statements'!B79)</f>
        <v>130541</v>
      </c>
      <c r="D18" s="34">
        <f>(D20+'Financial Statements'!C79)</f>
        <v>120233</v>
      </c>
      <c r="E18" s="34">
        <f>(E20+'Financial Statements'!D79)</f>
        <v>77344</v>
      </c>
    </row>
    <row r="19" spans="1:5" x14ac:dyDescent="0.35">
      <c r="A19" s="18">
        <f>+A17+0.1</f>
        <v>2.3000000000000003</v>
      </c>
      <c r="B19" s="1" t="s">
        <v>113</v>
      </c>
      <c r="C19" s="34">
        <f>(C20/'Financial Statements'!B8)</f>
        <v>0.30288744395528594</v>
      </c>
      <c r="D19" s="34">
        <f>(D20/'Financial Statements'!C8)</f>
        <v>0.29782377527561593</v>
      </c>
      <c r="E19" s="34">
        <f>(E20/'Financial Statements'!D8)</f>
        <v>0.24147314354406862</v>
      </c>
    </row>
    <row r="20" spans="1:5" x14ac:dyDescent="0.35">
      <c r="A20" s="18"/>
      <c r="B20" s="3" t="s">
        <v>114</v>
      </c>
      <c r="C20" s="34">
        <f>'Financial Statements'!B18</f>
        <v>119437</v>
      </c>
      <c r="D20" s="34">
        <f>'Financial Statements'!C18</f>
        <v>108949</v>
      </c>
      <c r="E20" s="34">
        <f>'Financial Statements'!D18</f>
        <v>66288</v>
      </c>
    </row>
    <row r="21" spans="1:5" x14ac:dyDescent="0.35">
      <c r="A21" s="18">
        <f>+A19+0.1</f>
        <v>2.4000000000000004</v>
      </c>
      <c r="B21" s="1" t="s">
        <v>115</v>
      </c>
      <c r="C21" s="34">
        <f>'Financial Statements'!B22/'Financial Statements'!B8</f>
        <v>0.25309640705199732</v>
      </c>
      <c r="D21" s="34">
        <f>'Financial Statements'!C22/'Financial Statements'!C8</f>
        <v>0.25881793355694238</v>
      </c>
      <c r="E21" s="34">
        <f>'Financial Statements'!D22/'Financial Statements'!D8</f>
        <v>0.20913611278072236</v>
      </c>
    </row>
    <row r="22" spans="1:5" x14ac:dyDescent="0.35">
      <c r="A22" s="18"/>
      <c r="C22" s="34"/>
      <c r="D22" s="34"/>
      <c r="E22" s="34"/>
    </row>
    <row r="23" spans="1:5" x14ac:dyDescent="0.35">
      <c r="A23" s="18">
        <f>+A15+1</f>
        <v>3</v>
      </c>
      <c r="B23" s="7" t="s">
        <v>116</v>
      </c>
      <c r="C23" s="34"/>
      <c r="D23" s="34"/>
      <c r="E23" s="34"/>
    </row>
    <row r="24" spans="1:5" x14ac:dyDescent="0.35">
      <c r="A24" s="18">
        <f t="shared" ref="A24:A29" si="2">+A23+0.1</f>
        <v>3.1</v>
      </c>
      <c r="B24" s="1" t="s">
        <v>117</v>
      </c>
      <c r="C24" s="34">
        <f>'Financial Statements'!B62/'Financial Statements'!B68</f>
        <v>5.9615369434796337</v>
      </c>
      <c r="D24" s="34">
        <f>'Financial Statements'!C62/'Financial Statements'!C68</f>
        <v>4.5635124425423994</v>
      </c>
      <c r="E24" s="34">
        <f>'Financial Statements'!D62/'Financial Statements'!D68</f>
        <v>3.9570394404566951</v>
      </c>
    </row>
    <row r="25" spans="1:5" x14ac:dyDescent="0.35">
      <c r="A25" s="18">
        <f t="shared" si="2"/>
        <v>3.2</v>
      </c>
      <c r="B25" s="1" t="s">
        <v>118</v>
      </c>
      <c r="C25" s="34">
        <f>'Financial Statements'!B62/'Financial Statements'!B69</f>
        <v>0.85635355983614692</v>
      </c>
      <c r="D25" s="34">
        <f>'Financial Statements'!C62/'Financial Statements'!C69</f>
        <v>0.82025743443057308</v>
      </c>
      <c r="E25" s="34">
        <f>'Financial Statements'!D62/'Financial Statements'!D69</f>
        <v>0.79826668477992391</v>
      </c>
    </row>
    <row r="26" spans="1:5" x14ac:dyDescent="0.35">
      <c r="A26" s="18">
        <f t="shared" si="2"/>
        <v>3.3000000000000003</v>
      </c>
      <c r="B26" s="1" t="s">
        <v>119</v>
      </c>
      <c r="C26" s="34">
        <f>'Financial Statements'!B59/('Financial Statements'!B59+'Financial Statements'!B68)</f>
        <v>0.66135359651409131</v>
      </c>
      <c r="D26" s="34">
        <f>'Financial Statements'!C59/('Financial Statements'!C59+'Financial Statements'!C68)</f>
        <v>0.63361518269878514</v>
      </c>
      <c r="E26" s="34">
        <f>'Financial Statements'!D59/('Financial Statements'!D59+'Financial Statements'!D68)</f>
        <v>0.60160603880345842</v>
      </c>
    </row>
    <row r="27" spans="1:5" x14ac:dyDescent="0.35">
      <c r="A27" s="18">
        <f t="shared" si="2"/>
        <v>3.4000000000000004</v>
      </c>
      <c r="B27" s="1" t="s">
        <v>120</v>
      </c>
      <c r="C27" s="34">
        <f>C20/('Financial Statements'!B59+'Financial Statements'!B55)</f>
        <v>1.0849328258559139</v>
      </c>
      <c r="D27" s="34">
        <f>D20/('Financial Statements'!C59+'Financial Statements'!C55)</f>
        <v>0.91770483241941059</v>
      </c>
      <c r="E27" s="34">
        <f>E20/('Financial Statements'!D59+'Financial Statements'!D55)</f>
        <v>0.61697691734921822</v>
      </c>
    </row>
    <row r="28" spans="1:5" x14ac:dyDescent="0.35">
      <c r="A28" s="18">
        <f t="shared" si="2"/>
        <v>3.5000000000000004</v>
      </c>
      <c r="B28" s="1" t="s">
        <v>121</v>
      </c>
      <c r="C28" s="34">
        <f>C18/('Financial Statements'!B59+'Financial Statements'!B55)</f>
        <v>1.1857985048189159</v>
      </c>
      <c r="D28" s="34">
        <f>D18/('Financial Statements'!C59+'Financial Statements'!C55)</f>
        <v>1.012752802836951</v>
      </c>
      <c r="E28" s="34">
        <f>E18/('Financial Statements'!D59+'Financial Statements'!D55)</f>
        <v>0.71988086373790028</v>
      </c>
    </row>
    <row r="29" spans="1:5" x14ac:dyDescent="0.35">
      <c r="A29" s="18">
        <f t="shared" si="2"/>
        <v>3.6000000000000005</v>
      </c>
      <c r="B29" s="1" t="s">
        <v>122</v>
      </c>
      <c r="C29" s="35">
        <f>(C30*1000)/'Financial Statements'!B29</f>
        <v>8.4297166024896857</v>
      </c>
      <c r="D29" s="35">
        <f>(D30*1000)/'Financial Statements'!C29</f>
        <v>7.9354252616866772</v>
      </c>
      <c r="E29" s="35">
        <f>(E30*1000)/'Financial Statements'!D29</f>
        <v>6.2725318591425143</v>
      </c>
    </row>
    <row r="30" spans="1:5" x14ac:dyDescent="0.35">
      <c r="A30" s="18"/>
      <c r="B30" s="3" t="s">
        <v>123</v>
      </c>
      <c r="C30" s="35">
        <f>'Financial Statements'!B91+'Financial Statements'!B104-'Financial Statements'!B105</f>
        <v>137159</v>
      </c>
      <c r="D30" s="35">
        <f>'Financial Statements'!C91+'Financial Statements'!C104-'Financial Statements'!C105</f>
        <v>133181</v>
      </c>
      <c r="E30" s="35">
        <f>'Financial Statements'!D91+'Financial Statements'!D104-'Financial Statements'!D105</f>
        <v>109394</v>
      </c>
    </row>
    <row r="31" spans="1:5" x14ac:dyDescent="0.35">
      <c r="A31" s="18"/>
      <c r="C31" s="35"/>
      <c r="D31" s="35"/>
      <c r="E31" s="35"/>
    </row>
    <row r="32" spans="1:5" x14ac:dyDescent="0.35">
      <c r="A32" s="18">
        <f>+A23+1</f>
        <v>4</v>
      </c>
      <c r="B32" s="17" t="s">
        <v>124</v>
      </c>
      <c r="C32" s="35"/>
      <c r="D32" s="35"/>
      <c r="E32" s="35"/>
    </row>
    <row r="33" spans="1:8" x14ac:dyDescent="0.35">
      <c r="A33" s="18">
        <f>+A32+0.1</f>
        <v>4.0999999999999996</v>
      </c>
      <c r="B33" s="1" t="s">
        <v>125</v>
      </c>
      <c r="C33" s="35">
        <f>'Financial Statements'!B8/(('Financial Statements'!B48+'Financial Statements'!C48)/2)</f>
        <v>1.1206368107173357</v>
      </c>
      <c r="D33" s="35">
        <f>'Financial Statements'!C8/(('Financial Statements'!C48+'Financial Statements'!D48)/2)</f>
        <v>1.084078886929722</v>
      </c>
      <c r="E33" s="35">
        <f>'Financial Statements'!D8/(('Financial Statements'!D48)/2)</f>
        <v>1.695123005483377</v>
      </c>
    </row>
    <row r="34" spans="1:8" x14ac:dyDescent="0.35">
      <c r="A34" s="18">
        <f>+A33+0.1</f>
        <v>4.1999999999999993</v>
      </c>
      <c r="B34" s="1" t="s">
        <v>126</v>
      </c>
      <c r="C34" s="35">
        <f>'Financial Statements'!B8/(('Financial Statements'!B45+'Financial Statements'!C45)/2)</f>
        <v>9.6699976703409884</v>
      </c>
      <c r="D34" s="35">
        <f>'Financial Statements'!C8/(('Financial Statements'!C45+'Financial Statements'!D45)/2)</f>
        <v>9.6007400992047867</v>
      </c>
      <c r="E34" s="35">
        <f>'Financial Statements'!D8/'Financial Statements'!D45</f>
        <v>7.4665451776097482</v>
      </c>
    </row>
    <row r="35" spans="1:8" x14ac:dyDescent="0.35">
      <c r="A35" s="18">
        <f>+A34+0.1</f>
        <v>4.2999999999999989</v>
      </c>
      <c r="B35" s="1" t="s">
        <v>127</v>
      </c>
      <c r="C35" s="35">
        <f>'Financial Statements'!B12/(('Financial Statements'!B39+'Financial Statements'!C39)/2)</f>
        <v>38.789866389033492</v>
      </c>
      <c r="D35" s="35">
        <f>'Financial Statements'!C12/(('Financial Statements'!C39+'Financial Statements'!D39)/2)</f>
        <v>40.030260313880277</v>
      </c>
      <c r="E35" s="35">
        <f>'Financial Statements'!D12/'Financial Statements'!D39</f>
        <v>41.753016498399411</v>
      </c>
    </row>
    <row r="36" spans="1:8" x14ac:dyDescent="0.35">
      <c r="A36" s="18">
        <f>+A35+0.1</f>
        <v>4.3999999999999986</v>
      </c>
      <c r="B36" s="1" t="s">
        <v>128</v>
      </c>
      <c r="C36" s="35">
        <f>'Financial Statements'!B22/(('Financial Statements'!B48+'Financial Statements'!C48)/2)</f>
        <v>0.28362915040276687</v>
      </c>
      <c r="D36" s="35">
        <f>'Financial Statements'!C22/(('Financial Statements'!C48+'Financial Statements'!D48)/2)</f>
        <v>0.28057905732786081</v>
      </c>
      <c r="E36" s="35">
        <f>'Financial Statements'!D22/'Financial Statements'!D48</f>
        <v>0.1772557180259843</v>
      </c>
    </row>
    <row r="37" spans="1:8" x14ac:dyDescent="0.35">
      <c r="A37" s="18"/>
      <c r="C37" s="35"/>
      <c r="D37" s="35"/>
      <c r="E37" s="35"/>
    </row>
    <row r="38" spans="1:8" x14ac:dyDescent="0.35">
      <c r="A38" s="18">
        <f>+A32+1</f>
        <v>5</v>
      </c>
      <c r="B38" s="17" t="s">
        <v>129</v>
      </c>
      <c r="C38" s="35"/>
      <c r="D38" s="35"/>
      <c r="E38" s="35"/>
      <c r="G38" s="7"/>
      <c r="H38" s="7"/>
    </row>
    <row r="39" spans="1:8" x14ac:dyDescent="0.35">
      <c r="A39" s="18">
        <f>+A38+0.1</f>
        <v>5.0999999999999996</v>
      </c>
      <c r="B39" s="1" t="s">
        <v>130</v>
      </c>
      <c r="C39" s="35">
        <f>191.81/C40</f>
        <v>31.376364862679477</v>
      </c>
      <c r="D39" s="35">
        <f>191.81/D40</f>
        <v>34.16624538857203</v>
      </c>
      <c r="E39" s="35">
        <f>191.81/E40</f>
        <v>58.561716872028008</v>
      </c>
    </row>
    <row r="40" spans="1:8" x14ac:dyDescent="0.35">
      <c r="A40" s="18">
        <f>+A39+0.1</f>
        <v>5.1999999999999993</v>
      </c>
      <c r="B40" s="3" t="s">
        <v>131</v>
      </c>
      <c r="C40" s="35">
        <f>('Financial Statements'!B22*1000)/'Financial Statements'!B28</f>
        <v>6.1132002014722815</v>
      </c>
      <c r="D40" s="35">
        <f>('Financial Statements'!C22*1000)/'Financial Statements'!C28</f>
        <v>5.6140204408927197</v>
      </c>
      <c r="E40" s="35">
        <f>('Financial Statements'!D22*1000)/'Financial Statements'!D28</f>
        <v>3.2753479618630856</v>
      </c>
    </row>
    <row r="41" spans="1:8" x14ac:dyDescent="0.35">
      <c r="A41" s="18">
        <f>+A40+0.1</f>
        <v>5.2999999999999989</v>
      </c>
      <c r="B41" s="1" t="s">
        <v>132</v>
      </c>
      <c r="C41" s="35">
        <f>191.81*1000/('Financial Statements'!B68/'Financial Statements'!B29)</f>
        <v>61590614.199360594</v>
      </c>
      <c r="D41" s="35">
        <f>191.81*1000/('Financial Statements'!C68/'Financial Statements'!C29)</f>
        <v>51024973.020367727</v>
      </c>
      <c r="E41" s="35">
        <f>191.81*1000/('Financial Statements'!D68/'Financial Statements'!D29)</f>
        <v>51197574.746552594</v>
      </c>
    </row>
    <row r="42" spans="1:8" x14ac:dyDescent="0.35">
      <c r="A42" s="18">
        <f>+A41+0.1</f>
        <v>5.3999999999999986</v>
      </c>
      <c r="B42" s="3" t="s">
        <v>133</v>
      </c>
      <c r="C42" s="35">
        <f>'Financial Statements'!B68*1000/'Financial Statements'!B29</f>
        <v>3.1142732134337328</v>
      </c>
      <c r="D42" s="35">
        <f>'Financial Statements'!C68*1000/'Financial Statements'!C29</f>
        <v>3.7591396652661602</v>
      </c>
      <c r="E42" s="35">
        <f>'Financial Statements'!D68*1000/'Financial Statements'!D29</f>
        <v>3.7464665259933154</v>
      </c>
    </row>
    <row r="43" spans="1:8" x14ac:dyDescent="0.35">
      <c r="A43" s="18">
        <f>+A42+0.1</f>
        <v>5.4999999999999982</v>
      </c>
      <c r="B43" s="1" t="s">
        <v>134</v>
      </c>
      <c r="C43" s="35">
        <f>C44/C40</f>
        <v>0.14920494283886093</v>
      </c>
      <c r="D43" s="35">
        <f>D44/D40</f>
        <v>0.15354385000977136</v>
      </c>
      <c r="E43" s="35">
        <f>E44/E40</f>
        <v>0.24650482642863902</v>
      </c>
    </row>
    <row r="44" spans="1:8" x14ac:dyDescent="0.35">
      <c r="A44" s="18"/>
      <c r="B44" s="3" t="s">
        <v>135</v>
      </c>
      <c r="C44" s="35">
        <f>-'Financial Statements'!B102*1000/'Financial Statements'!B29</f>
        <v>0.91211968662318488</v>
      </c>
      <c r="D44" s="35">
        <f>-'Financial Statements'!C102*1000/'Financial Statements'!C29</f>
        <v>0.86199831252822223</v>
      </c>
      <c r="E44" s="35">
        <f>-'Financial Statements'!D102*1000/'Financial Statements'!D29</f>
        <v>0.80738908083245653</v>
      </c>
    </row>
    <row r="45" spans="1:8" x14ac:dyDescent="0.35">
      <c r="A45" s="18">
        <f>+A43+0.1</f>
        <v>5.5999999999999979</v>
      </c>
      <c r="B45" s="1" t="s">
        <v>136</v>
      </c>
      <c r="C45" s="35">
        <f>(C44/191.81)*100</f>
        <v>0.47553291623126259</v>
      </c>
      <c r="D45" s="35">
        <f>(D44/191.81)*100</f>
        <v>0.44940217534446703</v>
      </c>
      <c r="E45" s="35">
        <f>(E44/191.81)*100</f>
        <v>0.42093169325502133</v>
      </c>
    </row>
    <row r="46" spans="1:8" x14ac:dyDescent="0.35">
      <c r="A46" s="18">
        <f>+A44+0.1</f>
        <v>0.1</v>
      </c>
      <c r="B46" s="1" t="s">
        <v>137</v>
      </c>
      <c r="C46" s="35">
        <f>'Financial Statements'!B22/('Financial Statements'!B48-'Financial Statements'!B62)</f>
        <v>1.9695887275023682</v>
      </c>
      <c r="D46" s="35">
        <f>'Financial Statements'!C22/('Financial Statements'!C48-'Financial Statements'!C62)</f>
        <v>1.5007132667617689</v>
      </c>
      <c r="E46" s="35">
        <f>'Financial Statements'!D22/('Financial Statements'!B48-'Financial Statements'!B62)</f>
        <v>1.1329925797284497</v>
      </c>
    </row>
    <row r="47" spans="1:8" x14ac:dyDescent="0.35">
      <c r="A47" s="18">
        <f>+A45+0.1</f>
        <v>5.6999999999999975</v>
      </c>
      <c r="B47" s="1" t="s">
        <v>138</v>
      </c>
      <c r="C47" s="35">
        <f>C20/('Financial Statements'!B68+'Financial Statements'!B59)</f>
        <v>0.79821026391589978</v>
      </c>
      <c r="D47" s="35">
        <f>D20/('Financial Statements'!C68+'Financial Statements'!C59)</f>
        <v>0.63270343097400639</v>
      </c>
      <c r="E47" s="35">
        <f>E20/('Financial Statements'!D68+'Financial Statements'!D59)</f>
        <v>0.40418033486579757</v>
      </c>
    </row>
    <row r="48" spans="1:8" x14ac:dyDescent="0.35">
      <c r="A48" s="18">
        <f>+A46+0.1</f>
        <v>0.2</v>
      </c>
      <c r="B48" s="1" t="s">
        <v>128</v>
      </c>
      <c r="C48" s="35">
        <f>'Financial Statements'!B22/'Financial Statements'!B42</f>
        <v>0.73707027066947306</v>
      </c>
      <c r="D48" s="35">
        <f>'Financial Statements'!C22/'Financial Statements'!C42</f>
        <v>0.70218635972588928</v>
      </c>
      <c r="E48" s="35">
        <f>'Financial Statements'!D22/'Financial Statements'!D42</f>
        <v>0.39948369319407429</v>
      </c>
    </row>
    <row r="49" spans="1:5" x14ac:dyDescent="0.35">
      <c r="A49" s="18">
        <f>+A47+0.1</f>
        <v>5.7999999999999972</v>
      </c>
      <c r="B49" s="1" t="s">
        <v>139</v>
      </c>
      <c r="C49" s="35">
        <f>(C50)/('Financial Statements'!B18+'Financial Statements'!B79)</f>
        <v>23.811688302602249</v>
      </c>
      <c r="D49" s="35">
        <f>(D50)/('Financial Statements'!C18+'Financial Statements'!C79)</f>
        <v>26.563743297222892</v>
      </c>
      <c r="E49" s="35">
        <f>(E50)/('Financial Statements'!D18+'Financial Statements'!D79)</f>
        <v>42.872819305505281</v>
      </c>
    </row>
    <row r="50" spans="1:5" x14ac:dyDescent="0.35">
      <c r="A50" s="18"/>
      <c r="B50" s="3" t="s">
        <v>140</v>
      </c>
      <c r="C50" s="35">
        <f>(((191.81/1000)*'Financial Statements'!B29)+('Financial Statements'!B55)-('Financial Statements'!B36))</f>
        <v>3108401.6027100002</v>
      </c>
      <c r="D50" s="35">
        <f>(((191.81/1000)*'Financial Statements'!C29)+('Financial Statements'!C55)-('Financial Statements'!C36))</f>
        <v>3193838.547855</v>
      </c>
      <c r="E50" s="35">
        <f>(((191.81/1000)*'Financial Statements'!D29)+('Financial Statements'!D55)-('Financial Statements'!D36))</f>
        <v>3315955.3363650003</v>
      </c>
    </row>
  </sheetData>
  <pageMargins left="0.7" right="0.7" top="0.75" bottom="0.75" header="0.3" footer="0.3"/>
  <ignoredErrors>
    <ignoredError sqref="C18 D18:E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tabSelected="1" zoomScaleNormal="100" workbookViewId="0">
      <selection activeCell="C35" sqref="C35"/>
    </sheetView>
  </sheetViews>
  <sheetFormatPr defaultColWidth="11.54296875" defaultRowHeight="14.5" x14ac:dyDescent="0.35"/>
  <cols>
    <col min="1" max="1" width="5.26953125" customWidth="1"/>
    <col min="2" max="2" width="55.26953125" bestFit="1" customWidth="1"/>
    <col min="3" max="4" width="15.26953125" bestFit="1" customWidth="1"/>
    <col min="6" max="6" width="13" customWidth="1"/>
  </cols>
  <sheetData>
    <row r="1" spans="1:10" ht="52.15" customHeight="1" x14ac:dyDescent="0.6">
      <c r="A1" s="6"/>
      <c r="B1" s="20" t="s">
        <v>0</v>
      </c>
      <c r="C1" s="19"/>
      <c r="D1" s="19"/>
      <c r="E1" s="28" t="s">
        <v>180</v>
      </c>
      <c r="F1" s="19"/>
      <c r="G1" s="19"/>
      <c r="H1" s="19"/>
      <c r="I1" s="19"/>
      <c r="J1" s="19"/>
    </row>
    <row r="2" spans="1:10" ht="32.25" customHeight="1" x14ac:dyDescent="0.35">
      <c r="C2" s="31" t="s">
        <v>181</v>
      </c>
      <c r="D2" s="31" t="s">
        <v>182</v>
      </c>
      <c r="E2" s="7"/>
    </row>
    <row r="3" spans="1:10" x14ac:dyDescent="0.35">
      <c r="A3" s="18">
        <v>1</v>
      </c>
      <c r="B3" s="7" t="s">
        <v>151</v>
      </c>
      <c r="E3" s="7"/>
    </row>
    <row r="4" spans="1:10" x14ac:dyDescent="0.35">
      <c r="A4" s="18">
        <f t="shared" ref="A4:A23" si="0">+A3+0.1</f>
        <v>1.1000000000000001</v>
      </c>
      <c r="B4" s="1" t="s">
        <v>152</v>
      </c>
      <c r="C4" s="30">
        <f>('Financial Statements'!B10-'Financial Statements'!C10)/'Financial Statements'!C10</f>
        <v>4.7876379599097081E-2</v>
      </c>
      <c r="D4" s="30">
        <f>('Financial Statements'!C10-'Financial Statements'!D10)/'Financial Statements'!D10</f>
        <v>0.27087767539626934</v>
      </c>
    </row>
    <row r="5" spans="1:10" x14ac:dyDescent="0.35">
      <c r="A5" s="18">
        <f t="shared" si="0"/>
        <v>1.2000000000000002</v>
      </c>
      <c r="B5" s="1" t="s">
        <v>168</v>
      </c>
      <c r="C5" s="30">
        <f>('Financial Statements'!B11-'Financial Statements'!C11)/'Financial Statements'!C11</f>
        <v>6.5652908520395847E-2</v>
      </c>
      <c r="D5" s="30">
        <f>('Financial Statements'!C11-'Financial Statements'!D11)/'Financial Statements'!D11</f>
        <v>0.13363979642094895</v>
      </c>
    </row>
    <row r="6" spans="1:10" x14ac:dyDescent="0.35">
      <c r="A6" s="18">
        <f t="shared" si="0"/>
        <v>1.3000000000000003</v>
      </c>
      <c r="B6" s="1" t="s">
        <v>153</v>
      </c>
      <c r="C6" s="30">
        <f>('Financial Statements'!B8-'Financial Statements'!C8)/'Financial Statements'!C8</f>
        <v>7.7937876041846058E-2</v>
      </c>
      <c r="D6" s="30">
        <f>('Financial Statements'!C8-'Financial Statements'!D8)/'Financial Statements'!D8</f>
        <v>0.33259384733074693</v>
      </c>
      <c r="I6" s="1"/>
    </row>
    <row r="7" spans="1:10" x14ac:dyDescent="0.35">
      <c r="A7" s="18"/>
      <c r="B7" s="7"/>
      <c r="C7" s="30"/>
      <c r="D7" s="30"/>
      <c r="I7" s="1"/>
    </row>
    <row r="8" spans="1:10" x14ac:dyDescent="0.35">
      <c r="A8" s="18">
        <v>2</v>
      </c>
      <c r="B8" s="17" t="s">
        <v>154</v>
      </c>
      <c r="C8" s="30">
        <f>('Financial Statements'!B13-'Financial Statements'!C13)/'Financial Statements'!C13</f>
        <v>0.11741997958596143</v>
      </c>
      <c r="D8" s="30">
        <f>('Financial Statements'!C13-'Financial Statements'!D13)/'Financial Statements'!D13</f>
        <v>0.45619116582186819</v>
      </c>
    </row>
    <row r="9" spans="1:10" x14ac:dyDescent="0.35">
      <c r="A9" s="18"/>
      <c r="C9" s="30"/>
      <c r="D9" s="30"/>
    </row>
    <row r="10" spans="1:10" x14ac:dyDescent="0.35">
      <c r="A10" s="18">
        <v>3</v>
      </c>
      <c r="B10" s="7" t="s">
        <v>155</v>
      </c>
      <c r="C10" s="30"/>
      <c r="D10" s="30"/>
    </row>
    <row r="11" spans="1:10" x14ac:dyDescent="0.35">
      <c r="A11" s="18">
        <f t="shared" si="0"/>
        <v>3.1</v>
      </c>
      <c r="B11" s="1" t="s">
        <v>156</v>
      </c>
      <c r="C11" s="30">
        <f>('Financial Statements'!B15-'Financial Statements'!C15)/'Financial Statements'!C15</f>
        <v>0.19791001186456147</v>
      </c>
      <c r="D11" s="30">
        <f>('Financial Statements'!C15-'Financial Statements'!D15)/'Financial Statements'!D15</f>
        <v>0.16862201365187712</v>
      </c>
    </row>
    <row r="12" spans="1:10" x14ac:dyDescent="0.35">
      <c r="A12" s="18">
        <f t="shared" si="0"/>
        <v>3.2</v>
      </c>
      <c r="B12" s="1" t="s">
        <v>157</v>
      </c>
      <c r="C12" s="30">
        <f>('Financial Statements'!B16-'Financial Statements'!C16)/'Financial Statements'!C16</f>
        <v>0.14203795567287125</v>
      </c>
      <c r="D12" s="30">
        <f>('Financial Statements'!C16-'Financial Statements'!D16)/'Financial Statements'!D16</f>
        <v>0.10328379192608958</v>
      </c>
    </row>
    <row r="13" spans="1:10" x14ac:dyDescent="0.35">
      <c r="A13" s="18"/>
      <c r="C13" s="30"/>
      <c r="D13" s="30"/>
    </row>
    <row r="14" spans="1:10" x14ac:dyDescent="0.35">
      <c r="A14" s="18">
        <v>4</v>
      </c>
      <c r="B14" s="7" t="s">
        <v>158</v>
      </c>
      <c r="C14" s="30"/>
      <c r="D14" s="30"/>
    </row>
    <row r="15" spans="1:10" x14ac:dyDescent="0.35">
      <c r="A15" s="18">
        <f t="shared" si="0"/>
        <v>4.0999999999999996</v>
      </c>
      <c r="B15" s="1" t="s">
        <v>159</v>
      </c>
      <c r="C15" s="30">
        <f>('Financial Statements'!B36-'Financial Statements'!C36)/'Financial Statements'!C36</f>
        <v>-0.32323983972524328</v>
      </c>
      <c r="D15" s="30">
        <f>('Financial Statements'!C36-'Financial Statements'!D36)/'Financial Statements'!D36</f>
        <v>-8.0913299663299659E-2</v>
      </c>
    </row>
    <row r="16" spans="1:10" x14ac:dyDescent="0.35">
      <c r="A16" s="18">
        <f t="shared" si="0"/>
        <v>4.1999999999999993</v>
      </c>
      <c r="B16" s="1" t="s">
        <v>160</v>
      </c>
      <c r="C16" s="30">
        <f>('Financial Statements'!B37-'Financial Statements'!C37)/'Financial Statements'!C37</f>
        <v>-0.10978735694429402</v>
      </c>
      <c r="D16" s="30">
        <f>('Financial Statements'!C37-'Financial Statements'!D37)/'Financial Statements'!D37</f>
        <v>-0.47665652691442933</v>
      </c>
    </row>
    <row r="17" spans="1:4" x14ac:dyDescent="0.35">
      <c r="A17" s="18">
        <f t="shared" si="0"/>
        <v>4.2999999999999989</v>
      </c>
      <c r="B17" s="1" t="s">
        <v>161</v>
      </c>
      <c r="C17" s="30">
        <f>('Financial Statements'!B38-'Financial Statements'!C38)/'Financial Statements'!C38</f>
        <v>7.2532156176269125E-2</v>
      </c>
      <c r="D17" s="30">
        <f>('Financial Statements'!C38-'Financial Statements'!D38)/'Financial Statements'!D38</f>
        <v>0.63014888337468977</v>
      </c>
    </row>
    <row r="18" spans="1:4" x14ac:dyDescent="0.35">
      <c r="A18" s="18">
        <f t="shared" si="0"/>
        <v>4.3999999999999986</v>
      </c>
      <c r="B18" s="1" t="s">
        <v>162</v>
      </c>
      <c r="C18" s="30">
        <f>('Financial Statements'!B39-'Financial Statements'!C39)/'Financial Statements'!C39</f>
        <v>-0.24832826747720366</v>
      </c>
      <c r="D18" s="30">
        <f>('Financial Statements'!C39-'Financial Statements'!D39)/'Financial Statements'!D39</f>
        <v>0.62029056882541245</v>
      </c>
    </row>
    <row r="19" spans="1:4" x14ac:dyDescent="0.35">
      <c r="A19" s="18">
        <f t="shared" si="0"/>
        <v>4.4999999999999982</v>
      </c>
      <c r="B19" s="1" t="s">
        <v>163</v>
      </c>
      <c r="C19" s="30">
        <f>('Financial Statements'!B40-'Financial Statements'!C40)/'Financial Statements'!C40</f>
        <v>0.29808149674964324</v>
      </c>
      <c r="D19" s="30">
        <f>('Financial Statements'!C40-'Financial Statements'!D40)/'Financial Statements'!D40</f>
        <v>0.18302461899179367</v>
      </c>
    </row>
    <row r="20" spans="1:4" x14ac:dyDescent="0.35">
      <c r="A20" s="18">
        <f t="shared" si="0"/>
        <v>4.5999999999999979</v>
      </c>
      <c r="B20" s="1" t="s">
        <v>164</v>
      </c>
      <c r="C20" s="30">
        <f>('Financial Statements'!B41-'Financial Statements'!C41)/'Financial Statements'!C41</f>
        <v>0.50400396853518536</v>
      </c>
      <c r="D20" s="30">
        <f>('Financial Statements'!C41-'Financial Statements'!D41)/'Financial Statements'!D41</f>
        <v>0.25275213068181818</v>
      </c>
    </row>
    <row r="21" spans="1:4" x14ac:dyDescent="0.35">
      <c r="A21" s="18">
        <f t="shared" si="0"/>
        <v>4.6999999999999975</v>
      </c>
      <c r="B21" s="1" t="s">
        <v>165</v>
      </c>
      <c r="C21" s="30">
        <f>('Financial Statements'!B44-'Financial Statements'!C44)/'Financial Statements'!C44</f>
        <v>-5.5303142863845724E-2</v>
      </c>
      <c r="D21" s="30">
        <f>('Financial Statements'!C44-'Financial Statements'!D44)/'Financial Statements'!D44</f>
        <v>0.26752703519779553</v>
      </c>
    </row>
    <row r="22" spans="1:4" x14ac:dyDescent="0.35">
      <c r="A22" s="18">
        <f t="shared" si="0"/>
        <v>4.7999999999999972</v>
      </c>
      <c r="B22" s="1" t="s">
        <v>166</v>
      </c>
      <c r="C22" s="30">
        <f>('Financial Statements'!B45-'Financial Statements'!C45)/'Financial Statements'!C45</f>
        <v>6.7875253549695744E-2</v>
      </c>
      <c r="D22" s="30">
        <f>('Financial Statements'!C45-'Financial Statements'!D45)/'Financial Statements'!D45</f>
        <v>7.2730239895555673E-2</v>
      </c>
    </row>
    <row r="23" spans="1:4" x14ac:dyDescent="0.35">
      <c r="A23" s="18">
        <f t="shared" si="0"/>
        <v>4.8999999999999968</v>
      </c>
      <c r="B23" s="1" t="s">
        <v>167</v>
      </c>
      <c r="C23" s="30">
        <f>('Financial Statements'!B46-'Financial Statements'!C46)/'Financial Statements'!C46</f>
        <v>0.11420909332842023</v>
      </c>
      <c r="D23" s="30">
        <f>('Financial Statements'!C46-'Financial Statements'!D46)/'Financial Statements'!D46</f>
        <v>0.1487935656836461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zoomScale="110" zoomScaleNormal="110" workbookViewId="0">
      <selection activeCell="E23" sqref="E23"/>
    </sheetView>
  </sheetViews>
  <sheetFormatPr defaultColWidth="11.54296875" defaultRowHeight="14.5" x14ac:dyDescent="0.35"/>
  <cols>
    <col min="1" max="1" width="5" customWidth="1"/>
    <col min="2" max="2" width="36.26953125" bestFit="1" customWidth="1"/>
  </cols>
  <sheetData>
    <row r="1" spans="1:10" ht="45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ht="18" customHeight="1" x14ac:dyDescent="0.35">
      <c r="A2" s="37" t="s">
        <v>169</v>
      </c>
      <c r="B2" s="37"/>
      <c r="C2" s="37"/>
      <c r="D2" s="37"/>
      <c r="E2" s="37"/>
    </row>
    <row r="3" spans="1:10" x14ac:dyDescent="0.35">
      <c r="C3" s="7">
        <v>2022</v>
      </c>
      <c r="D3" s="7">
        <v>2021</v>
      </c>
      <c r="E3" s="7">
        <v>2020</v>
      </c>
    </row>
    <row r="5" spans="1:10" x14ac:dyDescent="0.35">
      <c r="A5" s="18">
        <v>1</v>
      </c>
      <c r="B5" s="7" t="s">
        <v>170</v>
      </c>
      <c r="C5" s="30">
        <f>('Financial Statements'!B12/'Financial Statements'!B8)</f>
        <v>0.56690369438639909</v>
      </c>
      <c r="D5" s="30">
        <f>('Financial Statements'!C12/'Financial Statements'!C8)</f>
        <v>0.58220640374832222</v>
      </c>
      <c r="E5" s="30">
        <f>('Financial Statements'!D12/'Financial Statements'!D8)</f>
        <v>0.61766752272189129</v>
      </c>
    </row>
    <row r="6" spans="1:10" x14ac:dyDescent="0.35">
      <c r="A6" s="18">
        <v>2</v>
      </c>
      <c r="B6" s="7" t="s">
        <v>171</v>
      </c>
      <c r="C6" s="30">
        <f>('Financial Statements'!B13/'Financial Statements'!B8)</f>
        <v>0.43309630561360085</v>
      </c>
      <c r="D6" s="30">
        <f>('Financial Statements'!C13/'Financial Statements'!C8)</f>
        <v>0.41779359625167778</v>
      </c>
      <c r="E6" s="30">
        <f>('Financial Statements'!D13/'Financial Statements'!D8)</f>
        <v>0.38233247727810865</v>
      </c>
    </row>
    <row r="7" spans="1:10" x14ac:dyDescent="0.35">
      <c r="A7" s="18">
        <v>3</v>
      </c>
      <c r="B7" s="7" t="s">
        <v>172</v>
      </c>
      <c r="C7" s="30">
        <f>('Financial Statements'!B15/'Financial Statements'!B8)</f>
        <v>6.657148363798665E-2</v>
      </c>
      <c r="D7" s="30">
        <f>('Financial Statements'!C15/'Financial Statements'!C8)</f>
        <v>5.9904269074427925E-2</v>
      </c>
      <c r="E7" s="30">
        <f>('Financial Statements'!D15/'Financial Statements'!D8)</f>
        <v>6.8309564140393061E-2</v>
      </c>
    </row>
    <row r="8" spans="1:10" x14ac:dyDescent="0.35">
      <c r="A8" s="18">
        <v>4</v>
      </c>
      <c r="B8" s="7" t="s">
        <v>173</v>
      </c>
      <c r="C8" s="30">
        <f>('Financial Statements'!B16/'Financial Statements'!B8)</f>
        <v>6.3637378020328261E-2</v>
      </c>
      <c r="D8" s="30">
        <f>('Financial Statements'!C16/'Financial Statements'!C8)</f>
        <v>6.006555190163388E-2</v>
      </c>
      <c r="E8" s="30">
        <f>('Financial Statements'!D16/'Financial Statements'!D8)</f>
        <v>7.2549769593646979E-2</v>
      </c>
    </row>
    <row r="9" spans="1:10" x14ac:dyDescent="0.35">
      <c r="A9" s="18">
        <v>5</v>
      </c>
      <c r="B9" s="7" t="s">
        <v>174</v>
      </c>
      <c r="C9" s="30">
        <f>('Financial Statements'!B18/'Financial Statements'!B8)</f>
        <v>0.30288744395528594</v>
      </c>
      <c r="D9" s="30">
        <f>('Financial Statements'!C18/'Financial Statements'!C8)</f>
        <v>0.29782377527561593</v>
      </c>
      <c r="E9" s="30">
        <f>('Financial Statements'!D18/'Financial Statements'!D8)</f>
        <v>0.24147314354406862</v>
      </c>
    </row>
    <row r="10" spans="1:10" x14ac:dyDescent="0.35">
      <c r="A10" s="18">
        <v>6</v>
      </c>
      <c r="B10" s="7" t="s">
        <v>175</v>
      </c>
      <c r="C10" s="30">
        <f>('Financial Statements'!B22/'Financial Statements'!B8)</f>
        <v>0.25309640705199732</v>
      </c>
      <c r="D10" s="30">
        <f>('Financial Statements'!C22/'Financial Statements'!C8)</f>
        <v>0.25881793355694238</v>
      </c>
      <c r="E10" s="30">
        <f>('Financial Statements'!D22/'Financial Statements'!D8)</f>
        <v>0.20913611278072236</v>
      </c>
    </row>
    <row r="12" spans="1:10" x14ac:dyDescent="0.35">
      <c r="B12" s="7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"/>
  <sheetViews>
    <sheetView zoomScaleNormal="100" workbookViewId="0">
      <selection activeCell="F25" sqref="F25"/>
    </sheetView>
  </sheetViews>
  <sheetFormatPr defaultColWidth="11.54296875" defaultRowHeight="14.5" x14ac:dyDescent="0.35"/>
  <cols>
    <col min="1" max="1" width="5.1796875" customWidth="1"/>
    <col min="2" max="2" width="22.7265625" bestFit="1" customWidth="1"/>
    <col min="7" max="7" width="18.453125" customWidth="1"/>
  </cols>
  <sheetData>
    <row r="1" spans="1:10" ht="46.15" customHeight="1" x14ac:dyDescent="0.6">
      <c r="A1" s="6"/>
      <c r="B1" s="20" t="s">
        <v>0</v>
      </c>
      <c r="C1" s="19"/>
      <c r="D1" s="19"/>
      <c r="E1" s="19"/>
      <c r="F1" s="19"/>
      <c r="G1" s="28" t="s">
        <v>180</v>
      </c>
      <c r="H1" s="19"/>
      <c r="I1" s="19"/>
      <c r="J1" s="19"/>
    </row>
    <row r="2" spans="1:10" ht="16.899999999999999" customHeight="1" x14ac:dyDescent="0.35">
      <c r="A2" s="37" t="s">
        <v>179</v>
      </c>
      <c r="B2" s="37"/>
      <c r="C2" s="37"/>
      <c r="D2" s="37"/>
      <c r="E2" s="37"/>
    </row>
    <row r="3" spans="1:10" x14ac:dyDescent="0.35">
      <c r="C3" s="7">
        <v>2022</v>
      </c>
      <c r="D3" s="7">
        <v>2021</v>
      </c>
      <c r="E3" s="7">
        <v>2020</v>
      </c>
    </row>
    <row r="4" spans="1:10" x14ac:dyDescent="0.35">
      <c r="A4" s="18">
        <v>1</v>
      </c>
      <c r="B4" s="7" t="s">
        <v>176</v>
      </c>
      <c r="C4" s="30">
        <f>('Financial Statements'!B21/'Financial Statements'!B20)</f>
        <v>0.16204461684424407</v>
      </c>
      <c r="D4" s="30">
        <f>('Financial Statements'!C21/'Financial Statements'!C20)</f>
        <v>0.13302260844085087</v>
      </c>
      <c r="E4" s="30">
        <f>('Financial Statements'!D21/'Financial Statements'!D20)</f>
        <v>0.14428164731484103</v>
      </c>
    </row>
    <row r="5" spans="1:10" x14ac:dyDescent="0.35">
      <c r="A5" s="18">
        <v>2</v>
      </c>
      <c r="B5" s="7" t="s">
        <v>177</v>
      </c>
      <c r="C5" s="30">
        <f>(-'Financial Statements'!B96/'Financial Statements'!B8)</f>
        <v>2.7155058732831552E-2</v>
      </c>
      <c r="D5" s="30">
        <f>(-'Financial Statements'!C96/'Financial Statements'!C8)</f>
        <v>3.0302036264033657E-2</v>
      </c>
      <c r="E5" s="30">
        <f>(-'Financial Statements'!D96/'Financial Statements'!D8)</f>
        <v>2.6625138881299748E-2</v>
      </c>
    </row>
    <row r="6" spans="1:10" x14ac:dyDescent="0.35">
      <c r="A6" s="18">
        <v>3</v>
      </c>
      <c r="B6" s="7" t="s">
        <v>178</v>
      </c>
      <c r="C6" s="30">
        <f>(-'Financial Statements'!B96/(('Financial Statements'!B45+'Financial Statements'!C45)/2))</f>
        <v>0.26258935468445382</v>
      </c>
      <c r="D6" s="30">
        <f>(-'Financial Statements'!C96/(('Financial Statements'!C45+'Financial Statements'!D45)/2))</f>
        <v>0.29092197464766556</v>
      </c>
      <c r="E6" s="30">
        <f>(-'Financial Statements'!D96/(('Financial Statements'!D45+'Financial Statements'!E45)/2))</f>
        <v>0.39759560463471688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Growth Rates</vt:lpstr>
      <vt:lpstr>Margins</vt:lpstr>
      <vt:lpstr>Additional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Joshua Watt</cp:lastModifiedBy>
  <dcterms:created xsi:type="dcterms:W3CDTF">2020-05-18T16:32:37Z</dcterms:created>
  <dcterms:modified xsi:type="dcterms:W3CDTF">2023-07-20T11:51:42Z</dcterms:modified>
</cp:coreProperties>
</file>