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8_{0EC40048-8D14-4499-9A48-20BEEF98466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3" l="1"/>
  <c r="E81" i="3"/>
  <c r="C81" i="3"/>
  <c r="D80" i="3"/>
  <c r="E80" i="3"/>
  <c r="C80" i="3"/>
  <c r="D79" i="3"/>
  <c r="E79" i="3"/>
  <c r="C79" i="3"/>
  <c r="D77" i="3"/>
  <c r="E77" i="3"/>
  <c r="D76" i="3"/>
  <c r="E76" i="3"/>
  <c r="D75" i="3"/>
  <c r="E75" i="3"/>
  <c r="D74" i="3"/>
  <c r="E74" i="3"/>
  <c r="C77" i="3"/>
  <c r="C76" i="3"/>
  <c r="C75" i="3"/>
  <c r="C74" i="3"/>
  <c r="C73" i="3"/>
  <c r="D73" i="3"/>
  <c r="E73" i="3"/>
  <c r="C72" i="3"/>
  <c r="D72" i="3"/>
  <c r="E72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54" i="3"/>
  <c r="C68" i="3"/>
  <c r="C69" i="3"/>
  <c r="D69" i="3"/>
  <c r="D68" i="3"/>
  <c r="C67" i="3"/>
  <c r="D67" i="3"/>
  <c r="C66" i="3"/>
  <c r="D66" i="3"/>
  <c r="C65" i="3"/>
  <c r="D65" i="3"/>
  <c r="C64" i="3"/>
  <c r="D64" i="3"/>
  <c r="C63" i="3"/>
  <c r="D63" i="3"/>
  <c r="C62" i="3"/>
  <c r="D62" i="3"/>
  <c r="C61" i="3"/>
  <c r="D61" i="3"/>
  <c r="C60" i="3"/>
  <c r="D60" i="3"/>
  <c r="C59" i="3"/>
  <c r="D59" i="3"/>
  <c r="C58" i="3"/>
  <c r="D58" i="3"/>
  <c r="C57" i="3"/>
  <c r="D57" i="3"/>
  <c r="C55" i="3"/>
  <c r="D55" i="3"/>
  <c r="C56" i="3"/>
  <c r="D56" i="3"/>
  <c r="C54" i="3"/>
  <c r="D54" i="3"/>
  <c r="D50" i="3"/>
  <c r="E50" i="3"/>
  <c r="E51" i="3"/>
  <c r="D51" i="3"/>
  <c r="C50" i="3"/>
  <c r="C51" i="3"/>
  <c r="K4" i="3"/>
  <c r="D48" i="3"/>
  <c r="E48" i="3"/>
  <c r="C48" i="3"/>
  <c r="D47" i="3"/>
  <c r="E47" i="3"/>
  <c r="C47" i="3"/>
  <c r="D44" i="3"/>
  <c r="E44" i="3"/>
  <c r="C44" i="3"/>
  <c r="E46" i="3"/>
  <c r="D46" i="3"/>
  <c r="C46" i="3"/>
  <c r="D45" i="3"/>
  <c r="E45" i="3"/>
  <c r="C45" i="3"/>
  <c r="E42" i="3"/>
  <c r="D42" i="3"/>
  <c r="C42" i="3"/>
  <c r="D43" i="3"/>
  <c r="E43" i="3"/>
  <c r="C43" i="3"/>
  <c r="E40" i="3"/>
  <c r="D40" i="3"/>
  <c r="C40" i="3"/>
  <c r="D41" i="3"/>
  <c r="E41" i="3"/>
  <c r="C41" i="3"/>
  <c r="D49" i="3"/>
  <c r="E49" i="3"/>
  <c r="C49" i="3"/>
  <c r="D37" i="3"/>
  <c r="E37" i="3"/>
  <c r="C37" i="3"/>
  <c r="D36" i="3"/>
  <c r="E36" i="3"/>
  <c r="C36" i="3"/>
  <c r="D35" i="3"/>
  <c r="E35" i="3"/>
  <c r="C35" i="3"/>
  <c r="D30" i="3"/>
  <c r="E30" i="3"/>
  <c r="C30" i="3"/>
  <c r="D34" i="3"/>
  <c r="E34" i="3"/>
  <c r="C34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18" i="3"/>
  <c r="E18" i="3"/>
  <c r="C18" i="3"/>
  <c r="D19" i="3"/>
  <c r="E19" i="3"/>
  <c r="C19" i="3"/>
  <c r="D21" i="3"/>
  <c r="E21" i="3"/>
  <c r="C21" i="3"/>
  <c r="D17" i="3"/>
  <c r="E17" i="3"/>
  <c r="C17" i="3"/>
  <c r="C13" i="3"/>
  <c r="E13" i="3"/>
  <c r="D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<sst xmlns="http://schemas.openxmlformats.org/spreadsheetml/2006/main" count="212" uniqueCount="162">
  <si>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</si>
  <si>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</si>
  <si>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</si>
  <si>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</si>
  <si>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</si>
  <si>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</si>
  <si>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</si>
  <si>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</si>
  <si>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</si>
  <si>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</si>
  <si>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</si>
  <si>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</si>
  <si>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</si>
  <si>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</si>
  <si>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</si>
  <si>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</si>
  <si>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</si>
  <si>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</si>
  <si>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</si>
  <si>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</si>
  <si>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</si>
  <si>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</si>
  <si>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</si>
  <si>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</si>
  <si>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</si>
  <si>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</si>
  <si>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</si>
  <si>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</si>
  <si>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</si>
  <si>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</si>
  <si>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</si>
  <si>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</si>
  <si>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</si>
  <si>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</si>
  <si>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</si>
  <si>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</si>
  <si>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</si>
  <si>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</si>
  <si>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</si>
  <si>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</si>
  <si>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</si>
  <si>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</si>
  <si>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</si>
  <si>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</si>
  <si>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</si>
  <si>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</si>
  <si>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</si>
  <si>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</si>
  <si>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</si>
  <si>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</si>
  <si>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</si>
  <si>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</si>
  <si>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</si>
  <si>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</si>
  <si>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</si>
  <si>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</si>
  <si>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</si>
  <si>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</si>
  <si>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</si>
  <si>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</si>
  <si>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</si>
  <si>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</si>
  <si>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</si>
  <si>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</si>
  <si>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</si>
  <si>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</si>
  <si>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</si>
  <si>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</si>
  <si>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</si>
  <si>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</si>
  <si>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</si>
  <si>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</si>
  <si>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</si>
  <si>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</si>
  <si>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</si>
  <si>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</si>
  <si>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</si>
  <si>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</si>
  <si>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</si>
  <si>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</si>
  <si>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</si>
  <si>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</si>
  <si>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</si>
  <si>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</si>
  <si>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</si>
  <si>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</si>
  <si>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</si>
  <si>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</si>
  <si>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</si>
  <si>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</si>
  <si>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</si>
  <si>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</si>
  <si>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</si>
  <si>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</si>
  <si>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</si>
  <si>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</si>
  <si>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</si>
  <si>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</si>
  <si>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</si>
  <si>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</si>
  <si>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</si>
  <si>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</si>
  <si>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</si>
  <si>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</si>
  <si>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</si>
  <si>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</si>
  <si>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</si>
  <si>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</si>
  <si>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</si>
  <si>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</si>
  <si>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</si>
  <si>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</si>
  <si>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</si>
  <si>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</si>
  <si>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</si>
  <si>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</si>
  <si>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</si>
  <si>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</si>
  <si>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</si>
  <si>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</si>
  <si>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</si>
  <si>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</si>
  <si>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</si>
  <si>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</si>
  <si>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</si>
  <si>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</si>
  <si>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</si>
  <si>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</si>
  <si>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</si>
  <si>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</si>
  <si>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</si>
  <si>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</si>
  <si>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</si>
  <si>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</si>
  <si>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</si>
  <si>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</si>
  <si>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</si>
  <si>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</si>
  <si>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</si>
  <si>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</si>
  <si>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</si>
  <si>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</si>
  <si>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</si>
  <si>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</si>
  <si>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</si>
  <si>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</si>
  <si>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</si>
  <si>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</si>
  <si>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</si>
  <si>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</si>
  <si>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</si>
  <si>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Price per share used from market close: 02/11/2023</t>
  </si>
  <si>
    <t>Times</t>
  </si>
  <si>
    <t>cents</t>
  </si>
  <si>
    <t>Market Capitalisation:</t>
  </si>
  <si>
    <t>Growth Rates</t>
  </si>
  <si>
    <t>Net Sales</t>
  </si>
  <si>
    <t>Gross Profits</t>
  </si>
  <si>
    <t>Long Term debt</t>
  </si>
  <si>
    <t xml:space="preserve">Current Long term Debt </t>
  </si>
  <si>
    <t>Sales Margin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</si>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</sst>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0" fontId="0" fillId="0" borderId="0" xfId="3" applyNumberFormat="1" applyFont="1"/>
    <xf numFmtId="2" fontId="0" fillId="0" borderId="0" xfId="0" applyNumberFormat="1"/>
    <xf numFmtId="164" fontId="0" fillId="0" borderId="0" xfId="1" applyFont="1"/>
    <xf numFmtId="10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2" sqref="A22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6" workbookViewId="0">
      <selection activeCell="A15" sqref="A15:A1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0" t="s">
        <v>24</v>
      </c>
      <c r="B31" s="30"/>
      <c r="C31" s="30"/>
      <c r="D31" s="30"/>
    </row>
    <row r="32" spans="1:4" x14ac:dyDescent="0.3">
      <c r="B32" s="29" t="s">
        <v>142</v>
      </c>
      <c r="C32" s="29"/>
      <c r="D32" s="29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0" t="s">
        <v>55</v>
      </c>
      <c r="B71" s="30"/>
      <c r="C71" s="30"/>
      <c r="D71" s="30"/>
    </row>
    <row r="72" spans="1:4" x14ac:dyDescent="0.3">
      <c r="B72" s="29" t="s">
        <v>23</v>
      </c>
      <c r="C72" s="29"/>
      <c r="D72" s="29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1"/>
  <sheetViews>
    <sheetView tabSelected="1" workbookViewId="0">
      <selection activeCell="C80" sqref="C80:E81"/>
    </sheetView>
  </sheetViews>
  <sheetFormatPr defaultRowHeight="14.4" x14ac:dyDescent="0.3"/>
  <cols>
    <col min="1" max="1" width="6.5546875" bestFit="1" customWidth="1"/>
    <col min="2" max="2" width="44.88671875" customWidth="1"/>
    <col min="3" max="3" width="13.6640625" bestFit="1" customWidth="1"/>
    <col min="4" max="5" width="12.77734375" bestFit="1" customWidth="1"/>
    <col min="10" max="10" width="44" bestFit="1" customWidth="1"/>
    <col min="11" max="11" width="12.5546875" bestFit="1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19"/>
      <c r="G1" s="19" t="s">
        <v>2</v>
      </c>
      <c r="H1" s="19"/>
      <c r="I1" s="19"/>
      <c r="J1" s="19"/>
    </row>
    <row r="2" spans="1:11" x14ac:dyDescent="0.3">
      <c r="C2" s="29" t="s">
        <v>23</v>
      </c>
      <c r="D2" s="29"/>
      <c r="E2" s="29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J3" t="s">
        <v>151</v>
      </c>
      <c r="K3">
        <v>177.57</v>
      </c>
    </row>
    <row r="4" spans="1:11" x14ac:dyDescent="0.3">
      <c r="A4" s="18">
        <v>1</v>
      </c>
      <c r="B4" s="7" t="s">
        <v>99</v>
      </c>
      <c r="J4" t="s">
        <v>154</v>
      </c>
      <c r="K4" s="26">
        <f>K3*16125</f>
        <v>2863316.25</v>
      </c>
    </row>
    <row r="5" spans="1:11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1" x14ac:dyDescent="0.3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1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1" x14ac:dyDescent="0.3">
      <c r="A8" s="18">
        <f t="shared" si="0"/>
        <v>1.4000000000000004</v>
      </c>
      <c r="B8" s="1" t="s">
        <v>103</v>
      </c>
      <c r="C8" s="25">
        <f>'Financial Statements'!B42/('Financial Statements'!B17/365)</f>
        <v>962.56354075372474</v>
      </c>
      <c r="D8" s="25">
        <f>'Financial Statements'!C42/('Financial Statements'!C17/365)</f>
        <v>1121.4058832911796</v>
      </c>
      <c r="E8" s="25">
        <f>'Financial Statements'!D42/('Financial Statements'!D17/365)</f>
        <v>1356.5543860556534</v>
      </c>
      <c r="F8" t="s">
        <v>150</v>
      </c>
    </row>
    <row r="9" spans="1:11" x14ac:dyDescent="0.3">
      <c r="A9" s="18">
        <f t="shared" si="0"/>
        <v>1.5000000000000004</v>
      </c>
      <c r="B9" s="1" t="s">
        <v>104</v>
      </c>
      <c r="C9" s="25">
        <f>('Financial Statements'!B39/'Financial Statements'!B12)*365</f>
        <v>8.0756980666171607</v>
      </c>
      <c r="D9" s="25">
        <f>('Financial Statements'!C39/'Financial Statements'!C12)*365</f>
        <v>11.27659274770989</v>
      </c>
      <c r="E9" s="25">
        <f>('Financial Statements'!D39/'Financial Statements'!D12)*365</f>
        <v>8.7418833562358831</v>
      </c>
      <c r="F9" t="s">
        <v>150</v>
      </c>
    </row>
    <row r="10" spans="1:11" x14ac:dyDescent="0.3">
      <c r="A10" s="18">
        <f t="shared" si="0"/>
        <v>1.6000000000000005</v>
      </c>
      <c r="B10" s="1" t="s">
        <v>105</v>
      </c>
      <c r="C10" s="25">
        <f>('Financial Statements'!B51/'Financial Statements'!B12)*365</f>
        <v>104.68527730310539</v>
      </c>
      <c r="D10" s="25">
        <f>('Financial Statements'!C51/'Financial Statements'!C12)*365</f>
        <v>93.851071222315596</v>
      </c>
      <c r="E10" s="25">
        <f>('Financial Statements'!D51/'Financial Statements'!D12)*365</f>
        <v>91.048189715674198</v>
      </c>
      <c r="F10" t="s">
        <v>150</v>
      </c>
    </row>
    <row r="11" spans="1:11" x14ac:dyDescent="0.3">
      <c r="A11" s="18">
        <f t="shared" si="0"/>
        <v>1.7000000000000006</v>
      </c>
      <c r="B11" s="1" t="s">
        <v>106</v>
      </c>
      <c r="C11" s="25">
        <f>('Financial Statements'!B38/'Financial Statements'!B8)*365</f>
        <v>26.087825363656648</v>
      </c>
      <c r="D11" s="25">
        <f>('Financial Statements'!C38/'Financial Statements'!C8)*365</f>
        <v>26.219311841713207</v>
      </c>
      <c r="E11" s="25">
        <f>('Financial Statements'!D38/'Financial Statements'!D8)*365</f>
        <v>21.433437152796749</v>
      </c>
      <c r="F11" t="s">
        <v>150</v>
      </c>
    </row>
    <row r="12" spans="1:11" x14ac:dyDescent="0.3">
      <c r="A12" s="18">
        <f t="shared" si="0"/>
        <v>1.8000000000000007</v>
      </c>
      <c r="B12" s="1" t="s">
        <v>107</v>
      </c>
      <c r="C12" s="25">
        <f>(C9+C11)-C10</f>
        <v>-70.521753872831582</v>
      </c>
      <c r="D12" s="25">
        <f t="shared" ref="D12:E12" si="1">(D9+D11)-D10</f>
        <v>-56.355166632892498</v>
      </c>
      <c r="E12" s="25">
        <f t="shared" si="1"/>
        <v>-60.872869206641568</v>
      </c>
      <c r="F12" t="s">
        <v>150</v>
      </c>
    </row>
    <row r="13" spans="1:11" x14ac:dyDescent="0.3">
      <c r="A13" s="18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</row>
    <row r="14" spans="1:11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f>'Financial Statements'!B13/'Financial Statements'!B8</f>
        <v>0.43309630561360085</v>
      </c>
      <c r="D17" s="24">
        <f>'Financial Statements'!C13/'Financial Statements'!C8</f>
        <v>0.41779359625167778</v>
      </c>
      <c r="E17" s="24">
        <f>'Financial Statements'!D13/'Financial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4">
        <f>C19/'Financial Statements'!B8</f>
        <v>0.33746525734921184</v>
      </c>
      <c r="D18" s="24">
        <f>D19/'Financial Statements'!C8</f>
        <v>0.33672027270465832</v>
      </c>
      <c r="E18" s="24">
        <f>E19/'Financial Statements'!D8</f>
        <v>0.29560861883685774</v>
      </c>
    </row>
    <row r="19" spans="1:5" x14ac:dyDescent="0.3">
      <c r="A19" s="18"/>
      <c r="B19" s="3" t="s">
        <v>112</v>
      </c>
      <c r="C19" s="12">
        <f>C21+'Financial Statements'!B79</f>
        <v>133072</v>
      </c>
      <c r="D19" s="12">
        <f>D21+'Financial Statements'!C79</f>
        <v>123178</v>
      </c>
      <c r="E19" s="12">
        <f>E21+'Financial Statements'!D79</f>
        <v>81149</v>
      </c>
    </row>
    <row r="20" spans="1:5" x14ac:dyDescent="0.3">
      <c r="A20" s="18">
        <f>+A18+0.1</f>
        <v>2.3000000000000003</v>
      </c>
      <c r="B20" s="1" t="s">
        <v>113</v>
      </c>
      <c r="C20" s="24">
        <f>C21/'Financial Statements'!B8</f>
        <v>0.30930595849140818</v>
      </c>
      <c r="D20" s="24">
        <f>D21/'Financial Statements'!C8</f>
        <v>0.30587424859970969</v>
      </c>
      <c r="E20" s="24">
        <f>E21/'Financial Statements'!D8</f>
        <v>0.25533395260732566</v>
      </c>
    </row>
    <row r="21" spans="1:5" x14ac:dyDescent="0.3">
      <c r="A21" s="18"/>
      <c r="B21" s="3" t="s">
        <v>114</v>
      </c>
      <c r="C21" s="12">
        <f>'Financial Statements'!B22+'Financial Statements'!B21+'Financial Statements'!B114</f>
        <v>121968</v>
      </c>
      <c r="D21" s="12">
        <f>'Financial Statements'!C22+'Financial Statements'!C21+'Financial Statements'!C114</f>
        <v>111894</v>
      </c>
      <c r="E21" s="12">
        <f>'Financial Statements'!D22+'Financial Statements'!D21+'Financial Statements'!D114</f>
        <v>70093</v>
      </c>
    </row>
    <row r="22" spans="1:5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5" x14ac:dyDescent="0.3">
      <c r="A26" s="18">
        <f t="shared" ref="A26:A30" si="2">+A25+0.1</f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5" x14ac:dyDescent="0.3">
      <c r="A27" s="18">
        <f t="shared" si="2"/>
        <v>3.3000000000000003</v>
      </c>
      <c r="B27" s="1" t="s">
        <v>119</v>
      </c>
      <c r="C27" s="25">
        <f>('Financial Statements'!B48-'Financial Statements'!B62)/'Financial Statements'!B61</f>
        <v>0.34214488761048206</v>
      </c>
      <c r="D27" s="25">
        <f>('Financial Statements'!C48-'Financial Statements'!C62)/'Financial Statements'!C61</f>
        <v>0.38841107916592277</v>
      </c>
      <c r="E27" s="25">
        <f>('Financial Statements'!D48-'Financial Statements'!D62)/'Financial Statements'!D61</f>
        <v>0.42661451974118064</v>
      </c>
    </row>
    <row r="28" spans="1:5" x14ac:dyDescent="0.3">
      <c r="A28" s="18">
        <f t="shared" si="2"/>
        <v>3.4000000000000004</v>
      </c>
      <c r="B28" s="1" t="s">
        <v>120</v>
      </c>
      <c r="C28" s="25">
        <f>C21/'Financial Statements'!B114</f>
        <v>42.571727748691103</v>
      </c>
      <c r="D28" s="25">
        <f>D21/'Financial Statements'!C114</f>
        <v>41.642724227763303</v>
      </c>
      <c r="E28" s="25">
        <f>E21/'Financial Statements'!D114</f>
        <v>23.348767488341107</v>
      </c>
    </row>
    <row r="29" spans="1:5" x14ac:dyDescent="0.3">
      <c r="A29" s="18">
        <f t="shared" si="2"/>
        <v>3.5000000000000004</v>
      </c>
      <c r="B29" s="1" t="s">
        <v>121</v>
      </c>
      <c r="C29" s="25">
        <f>'Financial Statements'!B91/'Financial Statements'!B62</f>
        <v>0.40436237722745072</v>
      </c>
      <c r="D29" s="25">
        <f>'Financial Statements'!C91/'Financial Statements'!C62</f>
        <v>0.3613534691155631</v>
      </c>
      <c r="E29" s="25">
        <f>'Financial Statements'!D91/'Financial Statements'!D62</f>
        <v>0.31202596026285151</v>
      </c>
    </row>
    <row r="30" spans="1:5" x14ac:dyDescent="0.3">
      <c r="A30" s="18">
        <f t="shared" si="2"/>
        <v>3.6000000000000005</v>
      </c>
      <c r="B30" s="1" t="s">
        <v>122</v>
      </c>
      <c r="C30" s="25">
        <f>C31/16215</f>
        <v>8.1935861856305898</v>
      </c>
      <c r="D30" s="25">
        <f t="shared" ref="D30:E30" si="3">D31/16215</f>
        <v>7.0997841504779524</v>
      </c>
      <c r="E30" s="25">
        <f t="shared" si="3"/>
        <v>5.4260252852297253</v>
      </c>
    </row>
    <row r="31" spans="1:5" x14ac:dyDescent="0.3">
      <c r="A31" s="18"/>
      <c r="B31" s="3" t="s">
        <v>123</v>
      </c>
      <c r="C31" s="12">
        <f>'Financial Statements'!B91-'Financial Statements'!B96</f>
        <v>132859</v>
      </c>
      <c r="D31" s="12">
        <f>'Financial Statements'!C91-'Financial Statements'!C96</f>
        <v>115123</v>
      </c>
      <c r="E31" s="12">
        <f>'Financial Statements'!D91-'Financial Statements'!D96</f>
        <v>87983</v>
      </c>
    </row>
    <row r="32" spans="1:5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6" x14ac:dyDescent="0.3">
      <c r="A35" s="18">
        <f t="shared" ref="A35:A37" si="4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6" x14ac:dyDescent="0.3">
      <c r="A36" s="18">
        <f t="shared" si="4"/>
        <v>4.2999999999999989</v>
      </c>
      <c r="B36" s="1" t="s">
        <v>127</v>
      </c>
      <c r="C36" s="23">
        <f>'Financial Statements'!B8/'Financial Statements'!B39</f>
        <v>79.726647796198947</v>
      </c>
      <c r="D36" s="23">
        <f>'Financial Statements'!C8/'Financial Statements'!C39</f>
        <v>55.595288753799394</v>
      </c>
      <c r="E36" s="23">
        <f>'Financial Statements'!D8/'Financial Statements'!D39</f>
        <v>67.597882295001227</v>
      </c>
    </row>
    <row r="37" spans="1:6" x14ac:dyDescent="0.3">
      <c r="A37" s="18">
        <f t="shared" si="4"/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5">
        <f>K3/C41</f>
        <v>28.873170731707315</v>
      </c>
      <c r="D40" s="25">
        <f>K3/D41</f>
        <v>31.317460317460316</v>
      </c>
      <c r="E40" s="25">
        <f>K3/E41</f>
        <v>53.646525679758305</v>
      </c>
    </row>
    <row r="41" spans="1:6" x14ac:dyDescent="0.3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6" x14ac:dyDescent="0.3">
      <c r="A42" s="18">
        <f t="shared" si="5"/>
        <v>5.2999999999999989</v>
      </c>
      <c r="B42" s="1" t="s">
        <v>132</v>
      </c>
      <c r="C42" s="25">
        <f>K3/C43</f>
        <v>56.50687263182823</v>
      </c>
      <c r="D42" s="25">
        <f>K3/D43</f>
        <v>45.384629101283878</v>
      </c>
      <c r="E42" s="25">
        <f>K3/E43</f>
        <v>43.822468204288398</v>
      </c>
      <c r="F42" t="s">
        <v>152</v>
      </c>
    </row>
    <row r="43" spans="1:6" x14ac:dyDescent="0.3">
      <c r="A43" s="18">
        <f t="shared" si="5"/>
        <v>5.3999999999999986</v>
      </c>
      <c r="B43" s="3" t="s">
        <v>133</v>
      </c>
      <c r="C43" s="25">
        <f>('Financial Statements'!B48-'Financial Statements'!B62)/16125</f>
        <v>3.1424496124031007</v>
      </c>
      <c r="D43" s="25">
        <f>('Financial Statements'!C48-'Financial Statements'!C62)/16125</f>
        <v>3.9125581395348838</v>
      </c>
      <c r="E43" s="25">
        <f>('Financial Statements'!D48-'Financial Statements'!D62)/16125</f>
        <v>4.0520310077519381</v>
      </c>
    </row>
    <row r="44" spans="1:6" x14ac:dyDescent="0.3">
      <c r="A44" s="18">
        <f t="shared" si="5"/>
        <v>5.4999999999999982</v>
      </c>
      <c r="B44" s="1" t="s">
        <v>134</v>
      </c>
      <c r="C44" s="24">
        <f>-('Financial Statements'!B103)/'Financial Statements'!B22</f>
        <v>0.8957846958508261</v>
      </c>
      <c r="D44" s="24">
        <f>-('Financial Statements'!C103)/'Financial Statements'!C22</f>
        <v>0.90801647655259821</v>
      </c>
      <c r="E44" s="24">
        <f>-('Financial Statements'!D103)/'Financial Statements'!D22</f>
        <v>1.2603508038529201</v>
      </c>
    </row>
    <row r="45" spans="1:6" x14ac:dyDescent="0.3">
      <c r="A45" s="18"/>
      <c r="B45" s="3" t="s">
        <v>135</v>
      </c>
      <c r="C45" s="25">
        <f>(-('Financial Statements'!B102))/16125</f>
        <v>0.92037209302325584</v>
      </c>
      <c r="D45" s="25">
        <f>(-('Financial Statements'!C102))/16125</f>
        <v>0.8971782945736434</v>
      </c>
      <c r="E45" s="25">
        <f>(-('Financial Statements'!D102))/16125</f>
        <v>0.87324031007751934</v>
      </c>
      <c r="F45" t="s">
        <v>153</v>
      </c>
    </row>
    <row r="46" spans="1:6" x14ac:dyDescent="0.3">
      <c r="A46" s="18">
        <f>+A44+0.1</f>
        <v>5.5999999999999979</v>
      </c>
      <c r="B46" s="1" t="s">
        <v>136</v>
      </c>
      <c r="C46" s="24">
        <f>C45/K3</f>
        <v>5.1831508307892994E-3</v>
      </c>
      <c r="D46" s="24">
        <f>D45/K3</f>
        <v>5.0525330549847577E-3</v>
      </c>
      <c r="E46" s="24">
        <f>E45/K3</f>
        <v>4.9177243345019956E-3</v>
      </c>
    </row>
    <row r="47" spans="1:6" x14ac:dyDescent="0.3">
      <c r="A47" s="18">
        <f t="shared" ref="A47:A50" si="6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3">
      <c r="A48" s="18">
        <f t="shared" si="6"/>
        <v>5.6999999999999975</v>
      </c>
      <c r="B48" s="1" t="s">
        <v>138</v>
      </c>
      <c r="C48" s="24">
        <f>'List of Ratios'!C21/('Financial Statements'!B48-'Financial Statements'!B56)</f>
        <v>0.61360446338285379</v>
      </c>
      <c r="D48" s="24">
        <f>'List of Ratios'!D21/('Financial Statements'!C48-'Financial Statements'!C56)</f>
        <v>0.49615778574944241</v>
      </c>
      <c r="E48" s="24">
        <f>'List of Ratios'!E21/('Financial Statements'!D48-'Financial Statements'!D56)</f>
        <v>0.32079763473930872</v>
      </c>
    </row>
    <row r="49" spans="1:6" x14ac:dyDescent="0.3">
      <c r="A49" s="18">
        <f t="shared" si="6"/>
        <v>0.2</v>
      </c>
      <c r="B49" s="1" t="s">
        <v>128</v>
      </c>
      <c r="C49" s="27">
        <f>C37</f>
        <v>0.28292440929256851</v>
      </c>
      <c r="D49" s="27">
        <f t="shared" ref="D49:E49" si="7">D37</f>
        <v>0.26974205275183616</v>
      </c>
      <c r="E49" s="27">
        <f t="shared" si="7"/>
        <v>0.1772557180259843</v>
      </c>
    </row>
    <row r="50" spans="1:6" x14ac:dyDescent="0.3">
      <c r="A50" s="18">
        <f t="shared" si="6"/>
        <v>5.7999999999999972</v>
      </c>
      <c r="B50" s="1" t="s">
        <v>139</v>
      </c>
      <c r="C50" s="25">
        <f>C51/C19</f>
        <v>22.166625961885295</v>
      </c>
      <c r="D50" s="25">
        <f t="shared" ref="D50:E50" si="8">D51/D19</f>
        <v>23.925500089301661</v>
      </c>
      <c r="E50" s="25">
        <f t="shared" si="8"/>
        <v>36.140189651135564</v>
      </c>
      <c r="F50" t="s">
        <v>152</v>
      </c>
    </row>
    <row r="51" spans="1:6" x14ac:dyDescent="0.3">
      <c r="A51" s="18"/>
      <c r="B51" s="3" t="s">
        <v>140</v>
      </c>
      <c r="C51" s="28">
        <f>K4+('Financial Statements'!B55+'Financial Statements'!B59)-'Financial Statements'!B36</f>
        <v>2949757.25</v>
      </c>
      <c r="D51" s="28">
        <f>K4+('Financial Statements'!C55+'Financial Statements'!C59)-'Financial Statements'!C36</f>
        <v>2947095.25</v>
      </c>
      <c r="E51" s="28">
        <f>K4+('Financial Statements'!D55+'Financial Statements'!D59)-'Financial Statements'!D36</f>
        <v>2932740.25</v>
      </c>
    </row>
    <row r="53" spans="1:6" x14ac:dyDescent="0.3">
      <c r="A53" s="18">
        <v>6</v>
      </c>
      <c r="B53" s="7" t="s">
        <v>155</v>
      </c>
      <c r="F53" t="s">
        <v>161</v>
      </c>
    </row>
    <row r="54" spans="1:6" x14ac:dyDescent="0.3">
      <c r="A54">
        <v>6.1</v>
      </c>
      <c r="B54" t="s">
        <v>4</v>
      </c>
      <c r="C54" s="24">
        <f>('Financial Statements'!B6-'Financial Statements'!C6)/'Financial Statements'!C6</f>
        <v>6.3239764351428418E-2</v>
      </c>
      <c r="D54" s="24">
        <f>('Financial Statements'!C6-'Financial Statements'!D6)/'Financial Statements'!D6</f>
        <v>0.34720743656765435</v>
      </c>
      <c r="F54" s="24">
        <f>(D54+C54)/2</f>
        <v>0.20522360045954138</v>
      </c>
    </row>
    <row r="55" spans="1:6" x14ac:dyDescent="0.3">
      <c r="A55">
        <v>6.2</v>
      </c>
      <c r="B55" t="s">
        <v>5</v>
      </c>
      <c r="C55" s="24">
        <f>('Financial Statements'!B7-'Financial Statements'!C7)/'Financial Statements'!C7</f>
        <v>0.14181951041286078</v>
      </c>
      <c r="D55" s="24">
        <f>('Financial Statements'!C7-'Financial Statements'!D7)/'Financial Statements'!D7</f>
        <v>0.27259708376729652</v>
      </c>
      <c r="F55" s="24">
        <f t="shared" ref="F55:F69" si="9">(D55+C55)/2</f>
        <v>0.20720829709007865</v>
      </c>
    </row>
    <row r="56" spans="1:6" x14ac:dyDescent="0.3">
      <c r="A56">
        <v>6.3</v>
      </c>
      <c r="B56" t="s">
        <v>156</v>
      </c>
      <c r="C56" s="24">
        <f>('Financial Statements'!B8-'Financial Statements'!C8)/'Financial Statements'!C8</f>
        <v>7.7937876041846058E-2</v>
      </c>
      <c r="D56" s="24">
        <f>('Financial Statements'!C8-'Financial Statements'!D8)/'Financial Statements'!D8</f>
        <v>0.33259384733074693</v>
      </c>
      <c r="F56" s="24">
        <f t="shared" si="9"/>
        <v>0.20526586168629649</v>
      </c>
    </row>
    <row r="57" spans="1:6" x14ac:dyDescent="0.3">
      <c r="A57" s="18">
        <v>6.4</v>
      </c>
      <c r="B57" t="s">
        <v>157</v>
      </c>
      <c r="C57" s="24">
        <f>('Financial Statements'!B13-'Financial Statements'!C13)/'Financial Statements'!C13</f>
        <v>0.11741997958596143</v>
      </c>
      <c r="D57" s="24">
        <f>('Financial Statements'!C13-'Financial Statements'!D13)/'Financial Statements'!D13</f>
        <v>0.45619116582186819</v>
      </c>
      <c r="F57" s="24">
        <f t="shared" si="9"/>
        <v>0.28680557270391482</v>
      </c>
    </row>
    <row r="58" spans="1:6" x14ac:dyDescent="0.3">
      <c r="A58">
        <v>6.5</v>
      </c>
      <c r="B58" s="1" t="s">
        <v>11</v>
      </c>
      <c r="C58" s="24">
        <f>('Financial Statements'!B15-'Financial Statements'!C15)/'Financial Statements'!C15</f>
        <v>0.19791001186456147</v>
      </c>
      <c r="D58" s="24">
        <f>('Financial Statements'!C15-'Financial Statements'!D15)/'Financial Statements'!D15</f>
        <v>0.16862201365187712</v>
      </c>
      <c r="F58" s="24">
        <f t="shared" si="9"/>
        <v>0.1832660127582193</v>
      </c>
    </row>
    <row r="59" spans="1:6" x14ac:dyDescent="0.3">
      <c r="A59">
        <v>6.6</v>
      </c>
      <c r="B59" s="1" t="s">
        <v>12</v>
      </c>
      <c r="C59" s="24">
        <f>('Financial Statements'!B16-'Financial Statements'!C16)/'Financial Statements'!C16</f>
        <v>0.14203795567287125</v>
      </c>
      <c r="D59" s="24">
        <f>('Financial Statements'!C16-'Financial Statements'!D16)/'Financial Statements'!D16</f>
        <v>0.10328379192608958</v>
      </c>
      <c r="F59" s="24">
        <f t="shared" si="9"/>
        <v>0.12266087379948042</v>
      </c>
    </row>
    <row r="60" spans="1:6" x14ac:dyDescent="0.3">
      <c r="A60">
        <v>6.7</v>
      </c>
      <c r="B60" s="1" t="s">
        <v>26</v>
      </c>
      <c r="C60" s="24">
        <f>('Financial Statements'!B36-'Financial Statements'!C36)/'Financial Statements'!C36</f>
        <v>-0.32323983972524328</v>
      </c>
      <c r="D60" s="24">
        <f>('Financial Statements'!C36-'Financial Statements'!D36)/'Financial Statements'!D36</f>
        <v>-8.0913299663299659E-2</v>
      </c>
      <c r="F60" s="24">
        <f t="shared" si="9"/>
        <v>-0.20207656969427146</v>
      </c>
    </row>
    <row r="61" spans="1:6" x14ac:dyDescent="0.3">
      <c r="A61" s="18">
        <v>6.8</v>
      </c>
      <c r="B61" t="s">
        <v>31</v>
      </c>
      <c r="C61" s="24">
        <f>('Financial Statements'!B42-'Financial Statements'!C42)/'Financial Statements'!C42</f>
        <v>4.2199412619775131E-3</v>
      </c>
      <c r="D61" s="24">
        <f>('Financial Statements'!C42-'Financial Statements'!D42)/'Financial Statements'!D42</f>
        <v>-6.176894226687913E-2</v>
      </c>
      <c r="F61" s="24">
        <f t="shared" si="9"/>
        <v>-2.8774500502450808E-2</v>
      </c>
    </row>
    <row r="62" spans="1:6" x14ac:dyDescent="0.3">
      <c r="A62">
        <v>6.9</v>
      </c>
      <c r="B62" t="s">
        <v>50</v>
      </c>
      <c r="C62" s="24">
        <f>('Financial Statements'!B47-'Financial Statements'!C47)/'Financial Statements'!C47</f>
        <v>5.4772720964443994E-3</v>
      </c>
      <c r="D62" s="24">
        <f>('Financial Statements'!C47-'Financial Statements'!D47)/'Financial Statements'!D47</f>
        <v>0.19975579297904814</v>
      </c>
      <c r="F62" s="24">
        <f t="shared" si="9"/>
        <v>0.10261653253774627</v>
      </c>
    </row>
    <row r="63" spans="1:6" x14ac:dyDescent="0.3">
      <c r="A63" s="25">
        <v>6.1</v>
      </c>
      <c r="B63" t="s">
        <v>33</v>
      </c>
      <c r="C63" s="24">
        <f>('Financial Statements'!B48-'Financial Statements'!C48)/'Financial Statements'!C48</f>
        <v>4.9942735369029236E-3</v>
      </c>
      <c r="D63" s="24">
        <f>('Financial Statements'!C48-'Financial Statements'!D48)/'Financial Statements'!D48</f>
        <v>8.3714123400681711E-2</v>
      </c>
      <c r="F63" s="24">
        <f t="shared" si="9"/>
        <v>4.4354198468792315E-2</v>
      </c>
    </row>
    <row r="64" spans="1:6" x14ac:dyDescent="0.3">
      <c r="A64">
        <v>6.11</v>
      </c>
      <c r="B64" t="s">
        <v>159</v>
      </c>
      <c r="C64" s="24">
        <f>('Financial Statements'!B55-'Financial Statements'!C55)/'Financial Statements'!C55</f>
        <v>0.15759908457297409</v>
      </c>
      <c r="D64" s="24">
        <f>('Financial Statements'!C55-'Financial Statements'!D55)/'Financial Statements'!D55</f>
        <v>9.5748318705117977E-2</v>
      </c>
      <c r="F64" s="24">
        <f t="shared" si="9"/>
        <v>0.12667370163904604</v>
      </c>
    </row>
    <row r="65" spans="1:6" x14ac:dyDescent="0.3">
      <c r="A65" s="18">
        <v>6.12</v>
      </c>
      <c r="B65" t="s">
        <v>40</v>
      </c>
      <c r="C65" s="24">
        <f>('Financial Statements'!B56-'Financial Statements'!C56)/'Financial Statements'!C56</f>
        <v>0.22713398841258836</v>
      </c>
      <c r="D65" s="24">
        <f>('Financial Statements'!C56-'Financial Statements'!D56)/'Financial Statements'!D56</f>
        <v>0.19061219067860938</v>
      </c>
      <c r="F65" s="24">
        <f t="shared" si="9"/>
        <v>0.20887308954559886</v>
      </c>
    </row>
    <row r="66" spans="1:6" x14ac:dyDescent="0.3">
      <c r="A66">
        <v>6.13</v>
      </c>
      <c r="B66" s="1" t="s">
        <v>158</v>
      </c>
      <c r="C66" s="24">
        <f>('Financial Statements'!B61-'Financial Statements'!C61)/'Financial Statements'!C61</f>
        <v>-8.8222075835277747E-2</v>
      </c>
      <c r="D66" s="24">
        <f>('Financial Statements'!C61-'Financial Statements'!D61)/'Financial Statements'!D61</f>
        <v>6.0552243775994566E-2</v>
      </c>
      <c r="F66" s="24">
        <f t="shared" si="9"/>
        <v>-1.383491602964159E-2</v>
      </c>
    </row>
    <row r="67" spans="1:6" x14ac:dyDescent="0.3">
      <c r="A67">
        <v>6.14</v>
      </c>
      <c r="B67" t="s">
        <v>41</v>
      </c>
      <c r="C67" s="24">
        <f>('Financial Statements'!B62-'Financial Statements'!C62)/'Financial Statements'!C62</f>
        <v>4.9219900525160468E-2</v>
      </c>
      <c r="D67" s="24">
        <f>('Financial Statements'!C62-'Financial Statements'!D62)/'Financial Statements'!D62</f>
        <v>0.11356841449783213</v>
      </c>
      <c r="F67" s="24">
        <f t="shared" si="9"/>
        <v>8.1394157511496298E-2</v>
      </c>
    </row>
    <row r="68" spans="1:6" x14ac:dyDescent="0.3">
      <c r="A68">
        <v>6.15</v>
      </c>
      <c r="B68" t="s">
        <v>45</v>
      </c>
      <c r="C68" s="24">
        <f>('Financial Statements'!B68-'Financial Statements'!C68)/'Financial Statements'!C68</f>
        <v>-0.19682992550324932</v>
      </c>
      <c r="D68" s="24">
        <f>('Financial Statements'!C68-'Financial Statements'!D68)/'Financial Statements'!D68</f>
        <v>-3.4420483937617659E-2</v>
      </c>
      <c r="F68" s="24">
        <f t="shared" si="9"/>
        <v>-0.11562520472043349</v>
      </c>
    </row>
    <row r="69" spans="1:6" x14ac:dyDescent="0.3">
      <c r="A69" s="18">
        <v>6.16</v>
      </c>
      <c r="B69" t="s">
        <v>46</v>
      </c>
      <c r="C69" s="24">
        <f>('Financial Statements'!B69-'Financial Statements'!C69)/'Financial Statements'!C69</f>
        <v>4.9942735369029236E-3</v>
      </c>
      <c r="D69" s="24">
        <f>('Financial Statements'!C69-'Financial Statements'!D69)/'Financial Statements'!D69</f>
        <v>8.3714123400681711E-2</v>
      </c>
      <c r="F69" s="24">
        <f t="shared" si="9"/>
        <v>4.4354198468792315E-2</v>
      </c>
    </row>
    <row r="71" spans="1:6" x14ac:dyDescent="0.3">
      <c r="A71">
        <v>7</v>
      </c>
      <c r="B71" s="7" t="s">
        <v>160</v>
      </c>
    </row>
    <row r="72" spans="1:6" x14ac:dyDescent="0.3">
      <c r="A72">
        <v>7.1</v>
      </c>
      <c r="B72" s="1" t="s">
        <v>146</v>
      </c>
      <c r="C72" s="24">
        <f>'Financial Statements'!B12/'Financial Statements'!B8</f>
        <v>0.56690369438639909</v>
      </c>
      <c r="D72" s="24">
        <f>'Financial Statements'!C12/'Financial Statements'!C8</f>
        <v>0.58220640374832222</v>
      </c>
      <c r="E72" s="24">
        <f>'Financial Statements'!D12/'Financial Statements'!D8</f>
        <v>0.61766752272189129</v>
      </c>
    </row>
    <row r="73" spans="1:6" x14ac:dyDescent="0.3">
      <c r="A73">
        <v>7.2</v>
      </c>
      <c r="B73" s="1" t="s">
        <v>89</v>
      </c>
      <c r="C73" s="24">
        <f>'Financial Statements'!B13/'Financial Statements'!B8</f>
        <v>0.43309630561360085</v>
      </c>
      <c r="D73" s="24">
        <f>'Financial Statements'!C13/'Financial Statements'!C8</f>
        <v>0.41779359625167778</v>
      </c>
      <c r="E73" s="24">
        <f>'Financial Statements'!D13/'Financial Statements'!D8</f>
        <v>0.38233247727810865</v>
      </c>
    </row>
    <row r="74" spans="1:6" x14ac:dyDescent="0.3">
      <c r="A74">
        <v>7.3</v>
      </c>
      <c r="B74" s="1" t="s">
        <v>11</v>
      </c>
      <c r="C74" s="24">
        <f>'Financial Statements'!B15/'Financial Statements'!B8</f>
        <v>6.657148363798665E-2</v>
      </c>
      <c r="D74" s="24">
        <f>'Financial Statements'!C15/'Financial Statements'!C8</f>
        <v>5.9904269074427925E-2</v>
      </c>
      <c r="E74" s="24">
        <f>'Financial Statements'!D15/'Financial Statements'!D8</f>
        <v>6.8309564140393061E-2</v>
      </c>
    </row>
    <row r="75" spans="1:6" x14ac:dyDescent="0.3">
      <c r="A75">
        <v>7.4</v>
      </c>
      <c r="B75" s="1" t="s">
        <v>12</v>
      </c>
      <c r="C75" s="24">
        <f>'Financial Statements'!B16/'Financial Statements'!B8</f>
        <v>6.3637378020328261E-2</v>
      </c>
      <c r="D75" s="24">
        <f>'Financial Statements'!C16/'Financial Statements'!C8</f>
        <v>6.006555190163388E-2</v>
      </c>
      <c r="E75" s="24">
        <f>'Financial Statements'!D16/'Financial Statements'!D8</f>
        <v>7.2549769593646979E-2</v>
      </c>
    </row>
    <row r="76" spans="1:6" x14ac:dyDescent="0.3">
      <c r="A76">
        <v>7.5</v>
      </c>
      <c r="B76" s="1" t="s">
        <v>14</v>
      </c>
      <c r="C76" s="24">
        <f>'Financial Statements'!B18/'Financial Statements'!B8</f>
        <v>0.30288744395528594</v>
      </c>
      <c r="D76" s="24">
        <f>'Financial Statements'!C18/'Financial Statements'!C8</f>
        <v>0.29782377527561593</v>
      </c>
      <c r="E76" s="24">
        <f>'Financial Statements'!D18/'Financial Statements'!D8</f>
        <v>0.24147314354406862</v>
      </c>
    </row>
    <row r="77" spans="1:6" x14ac:dyDescent="0.3">
      <c r="A77">
        <v>7.6</v>
      </c>
      <c r="B77" s="1" t="s">
        <v>93</v>
      </c>
      <c r="C77" s="24">
        <f>'Financial Statements'!B22/'Financial Statements'!B8</f>
        <v>0.25309640705199732</v>
      </c>
      <c r="D77" s="24">
        <f>'Financial Statements'!C22/'Financial Statements'!C8</f>
        <v>0.25881793355694238</v>
      </c>
      <c r="E77" s="24">
        <f>'Financial Statements'!D22/'Financial Statements'!D8</f>
        <v>0.20913611278072236</v>
      </c>
    </row>
    <row r="79" spans="1:6" x14ac:dyDescent="0.3">
      <c r="A79" s="18">
        <v>8</v>
      </c>
      <c r="B79" s="11" t="s">
        <v>94</v>
      </c>
      <c r="C79" s="24">
        <f>'Financial Statements'!B21/'Financial Statements'!B20</f>
        <v>0.16204461684424407</v>
      </c>
      <c r="D79" s="24">
        <f>'Financial Statements'!C21/'Financial Statements'!C20</f>
        <v>0.13302260844085087</v>
      </c>
      <c r="E79" s="24">
        <f>'Financial Statements'!D21/'Financial Statements'!D20</f>
        <v>0.14428164731484103</v>
      </c>
    </row>
    <row r="80" spans="1:6" x14ac:dyDescent="0.3">
      <c r="A80" s="18">
        <v>9</v>
      </c>
      <c r="B80" s="11" t="s">
        <v>95</v>
      </c>
      <c r="C80" s="24">
        <f>(-'Financial Statements'!B96/'Financial Statements'!B8)</f>
        <v>2.7155058732831552E-2</v>
      </c>
      <c r="D80" s="24">
        <f>(-'Financial Statements'!C96/'Financial Statements'!C8)</f>
        <v>3.0302036264033657E-2</v>
      </c>
      <c r="E80" s="24">
        <f>(-'Financial Statements'!D96/'Financial Statements'!D8)</f>
        <v>2.6625138881299748E-2</v>
      </c>
    </row>
    <row r="81" spans="1:5" x14ac:dyDescent="0.3">
      <c r="A81" s="18">
        <v>10</v>
      </c>
      <c r="B81" s="11" t="s">
        <v>96</v>
      </c>
      <c r="C81" s="24">
        <f>-'Financial Statements'!B96/'Financial Statements'!B47</f>
        <v>4.9266160570508394E-2</v>
      </c>
      <c r="D81" s="24">
        <f>-'Financial Statements'!C96/'Financial Statements'!C47</f>
        <v>5.1280034788079534E-2</v>
      </c>
      <c r="E81" s="24">
        <f>-'Financial Statements'!D96/'Financial Statements'!D47</f>
        <v>4.0566116275842931E-2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2020-05-18T16:32:37Z</dcterms:created>
  <dcterms:modified xsi:type="dcterms:W3CDTF">2023-11-06T18:34:55Z</dcterms:modified>
</cp:coreProperties>
</file>