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33a8f250b85449/Documents/Online Courses/Mentorship/"/>
    </mc:Choice>
  </mc:AlternateContent>
  <xr:revisionPtr revIDLastSave="0" documentId="8_{846F24CD-43EC-4F9A-B5CF-7F32E55005E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3" l="1"/>
  <c r="D48" i="3"/>
  <c r="E48" i="3"/>
  <c r="C48" i="3"/>
  <c r="D45" i="3"/>
  <c r="E45" i="3"/>
  <c r="E46" i="3" s="1"/>
  <c r="C45" i="3"/>
  <c r="C46" i="3" s="1"/>
  <c r="D43" i="3"/>
  <c r="E43" i="3"/>
  <c r="C43" i="3"/>
  <c r="D36" i="3"/>
  <c r="E36" i="3"/>
  <c r="C36" i="3"/>
  <c r="D35" i="3"/>
  <c r="E35" i="3"/>
  <c r="C35" i="3"/>
  <c r="D34" i="3"/>
  <c r="E34" i="3"/>
  <c r="C34" i="3"/>
  <c r="D30" i="3"/>
  <c r="E30" i="3"/>
  <c r="C30" i="3"/>
  <c r="D31" i="3"/>
  <c r="E31" i="3"/>
  <c r="C31" i="3"/>
  <c r="D29" i="3"/>
  <c r="E29" i="3"/>
  <c r="C29" i="3"/>
  <c r="D27" i="3"/>
  <c r="E27" i="3"/>
  <c r="C27" i="3"/>
  <c r="E26" i="3"/>
  <c r="D26" i="3"/>
  <c r="C26" i="3"/>
  <c r="D25" i="3"/>
  <c r="E25" i="3"/>
  <c r="C25" i="3"/>
  <c r="D21" i="3"/>
  <c r="E21" i="3"/>
  <c r="C21" i="3"/>
  <c r="C8" i="3"/>
  <c r="D8" i="3"/>
  <c r="E8" i="3"/>
  <c r="D81" i="3"/>
  <c r="E81" i="3"/>
  <c r="C81" i="3"/>
  <c r="D80" i="3"/>
  <c r="E80" i="3"/>
  <c r="C80" i="3"/>
  <c r="D79" i="3"/>
  <c r="E79" i="3"/>
  <c r="C79" i="3"/>
  <c r="D77" i="3"/>
  <c r="E77" i="3"/>
  <c r="D76" i="3"/>
  <c r="E76" i="3"/>
  <c r="D75" i="3"/>
  <c r="E75" i="3"/>
  <c r="D74" i="3"/>
  <c r="E74" i="3"/>
  <c r="C77" i="3"/>
  <c r="C76" i="3"/>
  <c r="C75" i="3"/>
  <c r="C74" i="3"/>
  <c r="C73" i="3"/>
  <c r="D73" i="3"/>
  <c r="E73" i="3"/>
  <c r="C72" i="3"/>
  <c r="D72" i="3"/>
  <c r="E72" i="3"/>
  <c r="G55" i="3"/>
  <c r="G56" i="3"/>
  <c r="G68" i="3"/>
  <c r="C68" i="3"/>
  <c r="C69" i="3"/>
  <c r="G69" i="3" s="1"/>
  <c r="D69" i="3"/>
  <c r="D68" i="3"/>
  <c r="C67" i="3"/>
  <c r="D67" i="3"/>
  <c r="G67" i="3" s="1"/>
  <c r="C66" i="3"/>
  <c r="D66" i="3"/>
  <c r="G66" i="3" s="1"/>
  <c r="C65" i="3"/>
  <c r="D65" i="3"/>
  <c r="G65" i="3" s="1"/>
  <c r="C64" i="3"/>
  <c r="D64" i="3"/>
  <c r="G64" i="3" s="1"/>
  <c r="C63" i="3"/>
  <c r="D63" i="3"/>
  <c r="G63" i="3" s="1"/>
  <c r="C62" i="3"/>
  <c r="D62" i="3"/>
  <c r="G62" i="3" s="1"/>
  <c r="C61" i="3"/>
  <c r="D61" i="3"/>
  <c r="G61" i="3" s="1"/>
  <c r="C60" i="3"/>
  <c r="G60" i="3" s="1"/>
  <c r="D60" i="3"/>
  <c r="C59" i="3"/>
  <c r="D59" i="3"/>
  <c r="G59" i="3" s="1"/>
  <c r="C58" i="3"/>
  <c r="D58" i="3"/>
  <c r="G58" i="3" s="1"/>
  <c r="C57" i="3"/>
  <c r="D57" i="3"/>
  <c r="G57" i="3" s="1"/>
  <c r="C55" i="3"/>
  <c r="D55" i="3"/>
  <c r="C56" i="3"/>
  <c r="D56" i="3"/>
  <c r="C54" i="3"/>
  <c r="G54" i="3" s="1"/>
  <c r="D54" i="3"/>
  <c r="E51" i="3"/>
  <c r="D51" i="3"/>
  <c r="C51" i="3"/>
  <c r="D47" i="3"/>
  <c r="E47" i="3"/>
  <c r="C47" i="3"/>
  <c r="D44" i="3"/>
  <c r="E44" i="3"/>
  <c r="C44" i="3"/>
  <c r="D46" i="3"/>
  <c r="E42" i="3"/>
  <c r="D42" i="3"/>
  <c r="C42" i="3"/>
  <c r="D40" i="3"/>
  <c r="D41" i="3"/>
  <c r="E41" i="3"/>
  <c r="E40" i="3" s="1"/>
  <c r="C41" i="3"/>
  <c r="C40" i="3" s="1"/>
  <c r="D37" i="3"/>
  <c r="D49" i="3" s="1"/>
  <c r="E37" i="3"/>
  <c r="E49" i="3" s="1"/>
  <c r="C37" i="3"/>
  <c r="C49" i="3" s="1"/>
  <c r="D22" i="3"/>
  <c r="E22" i="3"/>
  <c r="C22" i="3"/>
  <c r="D20" i="3"/>
  <c r="E20" i="3"/>
  <c r="C20" i="3"/>
  <c r="E19" i="3"/>
  <c r="C19" i="3"/>
  <c r="C18" i="3" s="1"/>
  <c r="E28" i="3"/>
  <c r="C28" i="3"/>
  <c r="D17" i="3"/>
  <c r="E17" i="3"/>
  <c r="C17" i="3"/>
  <c r="E13" i="3"/>
  <c r="D13" i="3"/>
  <c r="D14" i="3"/>
  <c r="E14" i="3"/>
  <c r="C14" i="3"/>
  <c r="C13" i="3" s="1"/>
  <c r="D11" i="3"/>
  <c r="D12" i="3" s="1"/>
  <c r="E11" i="3"/>
  <c r="C11" i="3"/>
  <c r="D10" i="3"/>
  <c r="E10" i="3"/>
  <c r="C10" i="3"/>
  <c r="D9" i="3"/>
  <c r="E9" i="3"/>
  <c r="E12" i="3" s="1"/>
  <c r="C9" i="3"/>
  <c r="C12" i="3" s="1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E50" i="3" l="1"/>
  <c r="E18" i="3"/>
  <c r="C50" i="3"/>
  <c r="D28" i="3"/>
  <c r="D19" i="3"/>
  <c r="D18" i="3" s="1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3" i="1"/>
  <c r="D18" i="1" s="1"/>
  <c r="D20" i="1" s="1"/>
  <c r="D22" i="1" s="1"/>
  <c r="D76" i="1" s="1"/>
  <c r="D91" i="1" s="1"/>
  <c r="D109" i="1" s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D50" i="3" l="1"/>
  <c r="B13" i="1"/>
  <c r="C13" i="1"/>
  <c r="C18" i="1" s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<sst xmlns="http://schemas.openxmlformats.org/spreadsheetml/2006/main" count="227" uniqueCount="175">
  <si>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</si>
  <si>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</si>
  <si>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</si>
  <si>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</si>
  <si>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</si>
  <si>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</si>
  <si>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</si>
  <si>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</si>
  <si>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</si>
  <si>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</si>
  <si>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</si>
  <si>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</si>
  <si>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</si>
  <si>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</si>
  <si>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</si>
  <si>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</si>
  <si>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</si>
  <si>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</si>
  <si>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</si>
  <si>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</si>
  <si>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</si>
  <si>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</si>
  <si>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</si>
  <si>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</si>
  <si>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</si>
  <si>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</si>
  <si>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</si>
  <si>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</si>
  <si>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</si>
  <si>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</si>
  <si>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</si>
  <si>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</si>
  <si>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</si>
  <si>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</si>
  <si>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</si>
  <si>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</si>
  <si>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</si>
  <si>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</si>
  <si>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</si>
  <si>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</si>
  <si>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</si>
  <si>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</si>
  <si>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</si>
  <si>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</si>
  <si>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</si>
  <si>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</si>
  <si>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</si>
  <si>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</si>
  <si>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</si>
  <si>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</si>
  <si>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</si>
  <si>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</si>
  <si>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</si>
  <si>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</si>
  <si>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</si>
  <si>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</si>
  <si>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</si>
  <si>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</si>
  <si>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</si>
  <si>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</si>
  <si>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</si>
  <si>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</si>
  <si>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</si>
  <si>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</si>
  <si>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</si>
  <si>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</si>
  <si>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</si>
  <si>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</si>
  <si>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</si>
  <si>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</si>
  <si>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</si>
  <si>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</si>
  <si>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</si>
  <si>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</si>
  <si>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</si>
  <si>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</si>
  <si>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</si>
  <si>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</si>
  <si>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</si>
  <si>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</si>
  <si>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</si>
  <si>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</si>
  <si>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</si>
  <si>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</si>
  <si>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</si>
  <si>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</si>
  <si>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</si>
  <si>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</si>
  <si>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</si>
  <si>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</si>
  <si>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</si>
  <si>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</si>
  <si>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</si>
  <si>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</si>
  <si>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</si>
  <si>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</si>
  <si>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</si>
  <si>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</si>
  <si>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</si>
  <si>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</si>
  <si>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</si>
  <si>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</si>
  <si>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</si>
  <si>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</si>
  <si>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</si>
  <si>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</si>
  <si>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</si>
  <si>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</si>
  <si>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</si>
  <si>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</si>
  <si>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</si>
  <si>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</si>
  <si>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</si>
  <si>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</si>
  <si>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</si>
  <si>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</si>
  <si>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</si>
  <si>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</si>
  <si>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</si>
  <si>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</si>
  <si>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</si>
  <si>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</si>
  <si>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</si>
  <si>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</si>
  <si>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</si>
  <si>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</si>
  <si>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</si>
  <si>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</si>
  <si>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</si>
  <si>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</si>
  <si>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</si>
  <si>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</si>
  <si>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</si>
  <si>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</si>
  <si>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</si>
  <si>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</si>
  <si>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</si>
  <si>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</si>
  <si>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</si>
  <si>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</si>
  <si>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</si>
  <si>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</si>
  <si>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</si>
  <si>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</si>
  <si>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</si>
  <si>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</si>
  <si>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</si>
  <si>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</si>
  <si>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</si>
  <si>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</si>
  <si>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Days</t>
  </si>
  <si>
    <t>Price per share used from market close: 02/11/2023</t>
  </si>
  <si>
    <t>Times</t>
  </si>
  <si>
    <t>cents</t>
  </si>
  <si>
    <t>Market Capitalisation:</t>
  </si>
  <si>
    <t>Growth Rates</t>
  </si>
  <si>
    <t>Net Sales</t>
  </si>
  <si>
    <t>Gross Profits</t>
  </si>
  <si>
    <t>Long Term debt</t>
  </si>
  <si>
    <t xml:space="preserve">Current Long term Debt </t>
  </si>
  <si>
    <t>Sales Margin</t>
  </si>
  <si>
    <t>YoY</t>
  </si>
  <si>
    <t>Link Operating income in row 18 for EBIT</t>
  </si>
  <si>
    <t>Include only term debt for Debt figure, since differed revenue is not an actual form of capital</t>
  </si>
  <si>
    <t>Include only term debt for Debt figure, since differed revenue is not an actual form of capital. Capital = Term debt + total shareholder equity</t>
  </si>
  <si>
    <t>EBIT/ (Interest + Debt repayment), interest can be found at the bottom of cash flow, debt repayment can be found in the cash flow statement</t>
  </si>
  <si>
    <t>Cash flow from operation - Capex + Net debt issuance (capex and debt issuance can be found in cash flow)</t>
  </si>
  <si>
    <t>FCFE/Diluted number of shares</t>
  </si>
  <si>
    <t>Fixed asset should be only property plant and equipment</t>
  </si>
  <si>
    <t>Total shareholder equity/Diluted number of shares. Note that the three statements are reported in millions while the share count is reported in absolute number, so divide share count by 1000 within brackets</t>
  </si>
  <si>
    <t>Dividends paid (can be found in cash flow)/Diluted number of shares.  Note that the three statements are reported in millions while the share count is reported in absolute number, so divide share count by 1000 within brackets</t>
  </si>
  <si>
    <t xml:space="preserve"> Capital employed = Term debt + Total shareholder equity</t>
  </si>
  <si>
    <t>Subtract Depreciation from operational expenses</t>
  </si>
  <si>
    <t>Sales revenue should be denominator</t>
  </si>
  <si>
    <t>Market cap = Share price * Diluted number of shares. Note that the three statements are reported in millions while the share count is reported in absolute number, so divide share count by 1000 within brackets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</si>
</sst>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* #,##0.00_);_(* \(#,##0.00\);_(* \-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7" fontId="8" fillId="0" borderId="0" applyBorder="0" applyProtection="0"/>
    <xf numFmtId="0" fontId="9" fillId="0" borderId="0" applyBorder="0" applyProtection="0"/>
  </cellStyleXfs>
  <cellXfs count="32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3" applyNumberFormat="1" applyFont="1"/>
    <xf numFmtId="2" fontId="0" fillId="0" borderId="0" xfId="0" applyNumberFormat="1"/>
    <xf numFmtId="164" fontId="0" fillId="0" borderId="0" xfId="1" applyFont="1"/>
    <xf numFmtId="10" fontId="0" fillId="0" borderId="0" xfId="0" applyNumberFormat="1"/>
    <xf numFmtId="43" fontId="0" fillId="0" borderId="0" xfId="0" applyNumberFormat="1"/>
    <xf numFmtId="0" fontId="2" fillId="0" borderId="0" xfId="0" applyFont="1" applyAlignment="1">
      <alignment horizontal="center"/>
    </xf>
    <xf numFmtId="0" fontId="8" fillId="0" borderId="0" xfId="4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7">
    <cellStyle name="Comma" xfId="1" builtinId="3"/>
    <cellStyle name="Comma 2" xfId="5" xr:uid="{E31B2B47-0FF1-4D39-98A5-178B6A909D6A}"/>
    <cellStyle name="Hyperlink" xfId="2" builtinId="8"/>
    <cellStyle name="Hyperlink 2" xfId="6" xr:uid="{DDDBC63B-DF1E-48DD-8CB9-531ABCB0A1FC}"/>
    <cellStyle name="Normal" xfId="0" builtinId="0"/>
    <cellStyle name="Normal 2" xfId="4" xr:uid="{1C882508-E0F3-4DFE-BEE4-AB4508CE91C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4" workbookViewId="0">
      <selection activeCell="A22" sqref="A22:A24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9" workbookViewId="0">
      <selection activeCell="B58" sqref="B58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1" t="s">
        <v>1</v>
      </c>
      <c r="B2" s="31"/>
      <c r="C2" s="31"/>
      <c r="D2" s="31"/>
    </row>
    <row r="3" spans="1:10" x14ac:dyDescent="0.3">
      <c r="B3" s="30" t="s">
        <v>23</v>
      </c>
      <c r="C3" s="30"/>
      <c r="D3" s="30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31" t="s">
        <v>24</v>
      </c>
      <c r="B31" s="31"/>
      <c r="C31" s="31"/>
      <c r="D31" s="31"/>
    </row>
    <row r="32" spans="1:4" x14ac:dyDescent="0.3">
      <c r="B32" s="30" t="s">
        <v>142</v>
      </c>
      <c r="C32" s="30"/>
      <c r="D32" s="30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31" t="s">
        <v>55</v>
      </c>
      <c r="B71" s="31"/>
      <c r="C71" s="31"/>
      <c r="D71" s="31"/>
    </row>
    <row r="72" spans="1:4" x14ac:dyDescent="0.3">
      <c r="B72" s="30" t="s">
        <v>23</v>
      </c>
      <c r="C72" s="30"/>
      <c r="D72" s="30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1"/>
  <sheetViews>
    <sheetView tabSelected="1" topLeftCell="B2" workbookViewId="0">
      <selection activeCell="L5" sqref="L5"/>
    </sheetView>
  </sheetViews>
  <sheetFormatPr defaultRowHeight="14.4" x14ac:dyDescent="0.3"/>
  <cols>
    <col min="1" max="1" width="6.5546875" bestFit="1" customWidth="1"/>
    <col min="2" max="2" width="44.88671875" customWidth="1"/>
    <col min="3" max="3" width="13.6640625" bestFit="1" customWidth="1"/>
    <col min="4" max="5" width="12.77734375" bestFit="1" customWidth="1"/>
    <col min="6" max="6" width="29.21875" customWidth="1"/>
    <col min="11" max="11" width="44" bestFit="1" customWidth="1"/>
    <col min="12" max="12" width="12.5546875" bestFit="1" customWidth="1"/>
  </cols>
  <sheetData>
    <row r="1" spans="1:12" ht="60" customHeight="1" x14ac:dyDescent="0.5">
      <c r="A1" s="6"/>
      <c r="B1" s="20" t="s">
        <v>0</v>
      </c>
      <c r="C1" s="19"/>
      <c r="D1" s="19"/>
      <c r="E1" s="19"/>
      <c r="F1" s="19"/>
      <c r="G1" s="19"/>
      <c r="H1" s="19" t="s">
        <v>2</v>
      </c>
      <c r="I1" s="19"/>
      <c r="J1" s="19"/>
      <c r="K1" s="19"/>
    </row>
    <row r="2" spans="1:12" x14ac:dyDescent="0.3">
      <c r="C2" s="30" t="s">
        <v>23</v>
      </c>
      <c r="D2" s="30"/>
      <c r="E2" s="30"/>
      <c r="F2" s="28"/>
    </row>
    <row r="3" spans="1:12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  <c r="K3" t="s">
        <v>151</v>
      </c>
      <c r="L3">
        <v>177.57</v>
      </c>
    </row>
    <row r="4" spans="1:12" x14ac:dyDescent="0.3">
      <c r="A4" s="18">
        <v>1</v>
      </c>
      <c r="B4" s="7" t="s">
        <v>99</v>
      </c>
      <c r="K4" t="s">
        <v>154</v>
      </c>
      <c r="L4" s="25">
        <f>L3*('Financial Statements'!B28/1000)</f>
        <v>2898975.6798299998</v>
      </c>
    </row>
    <row r="5" spans="1:12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  <c r="F5" s="24"/>
    </row>
    <row r="6" spans="1:12" x14ac:dyDescent="0.3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  <c r="F6" s="24"/>
    </row>
    <row r="7" spans="1:12" x14ac:dyDescent="0.3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  <c r="F7" s="24"/>
    </row>
    <row r="8" spans="1:12" x14ac:dyDescent="0.3">
      <c r="A8" s="18">
        <f t="shared" si="0"/>
        <v>1.4000000000000004</v>
      </c>
      <c r="B8" s="1" t="s">
        <v>103</v>
      </c>
      <c r="C8" s="24">
        <f>('Financial Statements'!B42)/(('Financial Statements'!B17-'Financial Statements'!B79)/365)</f>
        <v>1228.1708953554833</v>
      </c>
      <c r="D8" s="24">
        <f>('Financial Statements'!C42)/(('Financial Statements'!C17-'Financial Statements'!C79)/365)</f>
        <v>1509.5279575499187</v>
      </c>
      <c r="E8" s="24">
        <f>('Financial Statements'!D42)/(('Financial Statements'!D17-'Financial Statements'!D79)/365)</f>
        <v>1899.7263870780819</v>
      </c>
      <c r="F8" s="24" t="s">
        <v>172</v>
      </c>
      <c r="G8" t="s">
        <v>150</v>
      </c>
    </row>
    <row r="9" spans="1:12" x14ac:dyDescent="0.3">
      <c r="A9" s="18">
        <f t="shared" si="0"/>
        <v>1.5000000000000004</v>
      </c>
      <c r="B9" s="1" t="s">
        <v>104</v>
      </c>
      <c r="C9" s="24">
        <f>('Financial Statements'!B39/'Financial Statements'!B12)*365</f>
        <v>8.0756980666171607</v>
      </c>
      <c r="D9" s="24">
        <f>('Financial Statements'!C39/'Financial Statements'!C12)*365</f>
        <v>11.27659274770989</v>
      </c>
      <c r="E9" s="24">
        <f>('Financial Statements'!D39/'Financial Statements'!D12)*365</f>
        <v>8.7418833562358831</v>
      </c>
      <c r="F9" s="24"/>
      <c r="G9" t="s">
        <v>150</v>
      </c>
    </row>
    <row r="10" spans="1:12" x14ac:dyDescent="0.3">
      <c r="A10" s="18">
        <f t="shared" si="0"/>
        <v>1.6000000000000005</v>
      </c>
      <c r="B10" s="1" t="s">
        <v>105</v>
      </c>
      <c r="C10" s="24">
        <f>('Financial Statements'!B51/'Financial Statements'!B12)*365</f>
        <v>104.68527730310539</v>
      </c>
      <c r="D10" s="24">
        <f>('Financial Statements'!C51/'Financial Statements'!C12)*365</f>
        <v>93.851071222315596</v>
      </c>
      <c r="E10" s="24">
        <f>('Financial Statements'!D51/'Financial Statements'!D12)*365</f>
        <v>91.048189715674198</v>
      </c>
      <c r="F10" s="24"/>
      <c r="G10" t="s">
        <v>150</v>
      </c>
    </row>
    <row r="11" spans="1:12" x14ac:dyDescent="0.3">
      <c r="A11" s="18">
        <f t="shared" si="0"/>
        <v>1.7000000000000006</v>
      </c>
      <c r="B11" s="1" t="s">
        <v>106</v>
      </c>
      <c r="C11" s="24">
        <f>('Financial Statements'!B38/'Financial Statements'!B8)*365</f>
        <v>26.087825363656648</v>
      </c>
      <c r="D11" s="24">
        <f>('Financial Statements'!C38/'Financial Statements'!C8)*365</f>
        <v>26.219311841713207</v>
      </c>
      <c r="E11" s="24">
        <f>('Financial Statements'!D38/'Financial Statements'!D8)*365</f>
        <v>21.433437152796749</v>
      </c>
      <c r="F11" s="24"/>
      <c r="G11" t="s">
        <v>150</v>
      </c>
    </row>
    <row r="12" spans="1:12" x14ac:dyDescent="0.3">
      <c r="A12" s="18">
        <f t="shared" si="0"/>
        <v>1.8000000000000007</v>
      </c>
      <c r="B12" s="1" t="s">
        <v>107</v>
      </c>
      <c r="C12" s="24">
        <f>(C9+C11)-C10</f>
        <v>-70.521753872831582</v>
      </c>
      <c r="D12" s="24">
        <f t="shared" ref="D12:E12" si="1">(D9+D11)-D10</f>
        <v>-56.355166632892498</v>
      </c>
      <c r="E12" s="24">
        <f t="shared" si="1"/>
        <v>-60.872869206641568</v>
      </c>
      <c r="F12" s="24"/>
      <c r="G12" t="s">
        <v>150</v>
      </c>
    </row>
    <row r="13" spans="1:12" x14ac:dyDescent="0.3">
      <c r="A13" s="18">
        <f t="shared" si="0"/>
        <v>1.9000000000000008</v>
      </c>
      <c r="B13" s="1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  <c r="F13" s="23"/>
    </row>
    <row r="14" spans="1:12" x14ac:dyDescent="0.3">
      <c r="A14" s="18"/>
      <c r="B14" s="3" t="s">
        <v>109</v>
      </c>
      <c r="C14" s="12">
        <f>'Financial Statements'!B42-'Financial Statements'!B56</f>
        <v>-18577</v>
      </c>
      <c r="D14" s="12">
        <f>'Financial Statements'!C42-'Financial Statements'!C56</f>
        <v>9355</v>
      </c>
      <c r="E14" s="12">
        <f>'Financial Statements'!D42-'Financial Statements'!D56</f>
        <v>38321</v>
      </c>
      <c r="F14" s="12"/>
    </row>
    <row r="15" spans="1:12" x14ac:dyDescent="0.3">
      <c r="A15" s="18"/>
    </row>
    <row r="16" spans="1:12" x14ac:dyDescent="0.3">
      <c r="A16" s="18">
        <f>+A4+1</f>
        <v>2</v>
      </c>
      <c r="B16" s="17" t="s">
        <v>110</v>
      </c>
    </row>
    <row r="17" spans="1:6" x14ac:dyDescent="0.3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  <c r="F17" s="23"/>
    </row>
    <row r="18" spans="1:6" x14ac:dyDescent="0.3">
      <c r="A18" s="18">
        <f>+A17+0.1</f>
        <v>2.2000000000000002</v>
      </c>
      <c r="B18" s="1" t="s">
        <v>111</v>
      </c>
      <c r="C18" s="23">
        <f>C19/'Financial Statements'!B8</f>
        <v>0.3310467428130896</v>
      </c>
      <c r="D18" s="23">
        <f>D19/'Financial Statements'!C8</f>
        <v>0.32866979938056462</v>
      </c>
      <c r="E18" s="23">
        <f>E19/'Financial Statements'!D8</f>
        <v>0.2817478097736007</v>
      </c>
      <c r="F18" s="23"/>
    </row>
    <row r="19" spans="1:6" x14ac:dyDescent="0.3">
      <c r="A19" s="18"/>
      <c r="B19" s="3" t="s">
        <v>112</v>
      </c>
      <c r="C19" s="12">
        <f>C21+'Financial Statements'!B79</f>
        <v>130541</v>
      </c>
      <c r="D19" s="12">
        <f>D21+'Financial Statements'!C79</f>
        <v>120233</v>
      </c>
      <c r="E19" s="12">
        <f>E21+'Financial Statements'!D79</f>
        <v>77344</v>
      </c>
      <c r="F19" s="12"/>
    </row>
    <row r="20" spans="1:6" x14ac:dyDescent="0.3">
      <c r="A20" s="18">
        <f>+A18+0.1</f>
        <v>2.3000000000000003</v>
      </c>
      <c r="B20" s="1" t="s">
        <v>113</v>
      </c>
      <c r="C20" s="23">
        <f>C21/'Financial Statements'!B8</f>
        <v>0.30288744395528594</v>
      </c>
      <c r="D20" s="23">
        <f>D21/'Financial Statements'!C8</f>
        <v>0.29782377527561593</v>
      </c>
      <c r="E20" s="23">
        <f>E21/'Financial Statements'!D8</f>
        <v>0.24147314354406862</v>
      </c>
      <c r="F20" s="23"/>
    </row>
    <row r="21" spans="1:6" x14ac:dyDescent="0.3">
      <c r="A21" s="18"/>
      <c r="B21" s="3" t="s">
        <v>114</v>
      </c>
      <c r="C21" s="12">
        <f>'Financial Statements'!B18</f>
        <v>119437</v>
      </c>
      <c r="D21" s="12">
        <f>'Financial Statements'!C18</f>
        <v>108949</v>
      </c>
      <c r="E21" s="12">
        <f>'Financial Statements'!D18</f>
        <v>66288</v>
      </c>
      <c r="F21" s="12" t="s">
        <v>162</v>
      </c>
    </row>
    <row r="22" spans="1:6" x14ac:dyDescent="0.3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  <c r="F22" s="23"/>
    </row>
    <row r="23" spans="1:6" x14ac:dyDescent="0.3">
      <c r="A23" s="18"/>
    </row>
    <row r="24" spans="1:6" x14ac:dyDescent="0.3">
      <c r="A24" s="18">
        <f>+A16+1</f>
        <v>3</v>
      </c>
      <c r="B24" s="7" t="s">
        <v>116</v>
      </c>
    </row>
    <row r="25" spans="1:6" x14ac:dyDescent="0.3">
      <c r="A25" s="18">
        <f>+A24+0.1</f>
        <v>3.1</v>
      </c>
      <c r="B25" s="1" t="s">
        <v>117</v>
      </c>
      <c r="C25" s="24">
        <f>'Financial Statements'!B59/'Financial Statements'!B68</f>
        <v>1.9529325860435744</v>
      </c>
      <c r="D25" s="24">
        <f>'Financial Statements'!C59/'Financial Statements'!C68</f>
        <v>1.729370740212395</v>
      </c>
      <c r="E25" s="24">
        <f>'Financial Statements'!D59/'Financial Statements'!D68</f>
        <v>1.5100782075024104</v>
      </c>
      <c r="F25" t="s">
        <v>163</v>
      </c>
    </row>
    <row r="26" spans="1:6" x14ac:dyDescent="0.3">
      <c r="A26" s="18">
        <f t="shared" ref="A26:A30" si="2">+A25+0.1</f>
        <v>3.2</v>
      </c>
      <c r="B26" s="1" t="s">
        <v>118</v>
      </c>
      <c r="C26" s="24">
        <f>'Financial Statements'!B59/'Financial Statements'!B48</f>
        <v>0.28053181386514719</v>
      </c>
      <c r="D26" s="24">
        <f>'Financial Statements'!C59/'Financial Statements'!C48</f>
        <v>0.31084153366647482</v>
      </c>
      <c r="E26" s="24">
        <f>'Financial Statements'!D59/'Financial Statements'!D48</f>
        <v>0.30463308304105124</v>
      </c>
      <c r="F26" t="s">
        <v>163</v>
      </c>
    </row>
    <row r="27" spans="1:6" x14ac:dyDescent="0.3">
      <c r="A27" s="18">
        <f t="shared" si="2"/>
        <v>3.3000000000000003</v>
      </c>
      <c r="B27" s="1" t="s">
        <v>119</v>
      </c>
      <c r="C27" s="24">
        <f>('Financial Statements'!B59+'Financial Statements'!B68)/'Financial Statements'!B59</f>
        <v>1.5120504451338432</v>
      </c>
      <c r="D27" s="24">
        <f>('Financial Statements'!C59+'Financial Statements'!C68)/'Financial Statements'!C59</f>
        <v>1.5782450094403608</v>
      </c>
      <c r="E27" s="24">
        <f>('Financial Statements'!D59+'Financial Statements'!D68)/'Financial Statements'!D59</f>
        <v>1.6622173573737926</v>
      </c>
      <c r="F27" t="s">
        <v>164</v>
      </c>
    </row>
    <row r="28" spans="1:6" x14ac:dyDescent="0.3">
      <c r="A28" s="18">
        <f t="shared" si="2"/>
        <v>3.4000000000000004</v>
      </c>
      <c r="B28" s="1" t="s">
        <v>120</v>
      </c>
      <c r="C28" s="24">
        <f>C21/'Financial Statements'!B114</f>
        <v>41.68830715532286</v>
      </c>
      <c r="D28" s="24">
        <f>D21/'Financial Statements'!C114</f>
        <v>40.546706363974693</v>
      </c>
      <c r="E28" s="24">
        <f>E21/'Financial Statements'!D114</f>
        <v>22.081279147235175</v>
      </c>
      <c r="F28" s="24"/>
    </row>
    <row r="29" spans="1:6" x14ac:dyDescent="0.3">
      <c r="A29" s="18">
        <f t="shared" si="2"/>
        <v>3.5000000000000004</v>
      </c>
      <c r="B29" s="1" t="s">
        <v>121</v>
      </c>
      <c r="C29" s="24">
        <f>'Financial Statements'!B18/('Financial Statements'!B114+(-'Financial Statements'!B105))</f>
        <v>9.6258059316569948</v>
      </c>
      <c r="D29" s="24">
        <f>'Financial Statements'!C18/('Financial Statements'!C114+(-'Financial Statements'!C105))</f>
        <v>9.5260120661012504</v>
      </c>
      <c r="E29" s="24">
        <f>'Financial Statements'!D18/('Financial Statements'!D114+(-'Financial Statements'!D105))</f>
        <v>4.2408035314439259</v>
      </c>
      <c r="F29" t="s">
        <v>165</v>
      </c>
    </row>
    <row r="30" spans="1:6" x14ac:dyDescent="0.3">
      <c r="A30" s="18">
        <f t="shared" si="2"/>
        <v>3.6000000000000005</v>
      </c>
      <c r="B30" s="1" t="s">
        <v>122</v>
      </c>
      <c r="C30" s="24">
        <f>C31/('Financial Statements'!B28/1000)</f>
        <v>7.160927117959595</v>
      </c>
      <c r="D30" s="24">
        <f>D31/('Financial Statements'!C28/1000)</f>
        <v>6.7208149650763209</v>
      </c>
      <c r="E30" s="24">
        <f>E31/('Financial Statements'!D28/1000)</f>
        <v>5.1035433501667651</v>
      </c>
      <c r="F30" s="24" t="s">
        <v>167</v>
      </c>
    </row>
    <row r="31" spans="1:6" x14ac:dyDescent="0.3">
      <c r="A31" s="18"/>
      <c r="B31" s="3" t="s">
        <v>123</v>
      </c>
      <c r="C31" s="12">
        <f>'Financial Statements'!B91+'Financial Statements'!B104+'Financial Statements'!B96</f>
        <v>116908</v>
      </c>
      <c r="D31" s="12">
        <f>'Financial Statements'!C91+'Financial Statements'!C104+'Financial Statements'!C96</f>
        <v>113346</v>
      </c>
      <c r="E31" s="12">
        <f>'Financial Statements'!D91+'Financial Statements'!D104+'Financial Statements'!D96</f>
        <v>89456</v>
      </c>
      <c r="F31" t="s">
        <v>166</v>
      </c>
    </row>
    <row r="32" spans="1:6" x14ac:dyDescent="0.3">
      <c r="A32" s="18"/>
    </row>
    <row r="33" spans="1:7" x14ac:dyDescent="0.3">
      <c r="A33" s="18">
        <f>+A24+1</f>
        <v>4</v>
      </c>
      <c r="B33" s="17" t="s">
        <v>124</v>
      </c>
    </row>
    <row r="34" spans="1:7" x14ac:dyDescent="0.3">
      <c r="A34" s="18">
        <f>+A33+0.1</f>
        <v>4.0999999999999996</v>
      </c>
      <c r="B34" s="1" t="s">
        <v>125</v>
      </c>
      <c r="C34" s="23">
        <f>'Financial Statements'!B48/'Financial Statements'!B8</f>
        <v>0.8945725385973099</v>
      </c>
      <c r="D34" s="23">
        <f>'Financial Statements'!C48/'Financial Statements'!C8</f>
        <v>0.95950160872786117</v>
      </c>
      <c r="E34" s="23">
        <f>'Financial Statements'!D48/'Financial Statements'!D8</f>
        <v>1.1798553813088537</v>
      </c>
      <c r="F34" s="23" t="s">
        <v>173</v>
      </c>
    </row>
    <row r="35" spans="1:7" x14ac:dyDescent="0.3">
      <c r="A35" s="18">
        <f t="shared" ref="A35:A37" si="3">+A34+0.1</f>
        <v>4.1999999999999993</v>
      </c>
      <c r="B35" s="1" t="s">
        <v>126</v>
      </c>
      <c r="C35" s="23">
        <f>'Financial Statements'!B45/'Financial Statements'!B8</f>
        <v>0.10680702359457102</v>
      </c>
      <c r="D35" s="23">
        <f>'Financial Statements'!C45/'Financial Statements'!C8</f>
        <v>0.10781346957631821</v>
      </c>
      <c r="E35" s="23">
        <f>'Financial Statements'!D45/'Financial Statements'!D8</f>
        <v>0.13393075059650655</v>
      </c>
      <c r="F35" s="23" t="s">
        <v>168</v>
      </c>
    </row>
    <row r="36" spans="1:7" x14ac:dyDescent="0.3">
      <c r="A36" s="18">
        <f t="shared" si="3"/>
        <v>4.2999999999999989</v>
      </c>
      <c r="B36" s="1" t="s">
        <v>127</v>
      </c>
      <c r="C36" s="23">
        <f>'Financial Statements'!B39/'Financial Statements'!B8</f>
        <v>1.2542857722505123E-2</v>
      </c>
      <c r="D36" s="23">
        <f>'Financial Statements'!C39/'Financial Statements'!C8</f>
        <v>1.7987135644324893E-2</v>
      </c>
      <c r="E36" s="23">
        <f>'Financial Statements'!D39/'Financial Statements'!D8</f>
        <v>1.4793362839917673E-2</v>
      </c>
      <c r="F36" s="23" t="s">
        <v>173</v>
      </c>
    </row>
    <row r="37" spans="1:7" x14ac:dyDescent="0.3">
      <c r="A37" s="18">
        <f t="shared" si="3"/>
        <v>4.3999999999999986</v>
      </c>
      <c r="B37" s="1" t="s">
        <v>128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  <c r="F37" s="23"/>
    </row>
    <row r="38" spans="1:7" x14ac:dyDescent="0.3">
      <c r="A38" s="18"/>
    </row>
    <row r="39" spans="1:7" x14ac:dyDescent="0.3">
      <c r="A39" s="18">
        <f>+A33+1</f>
        <v>5</v>
      </c>
      <c r="B39" s="17" t="s">
        <v>129</v>
      </c>
    </row>
    <row r="40" spans="1:7" x14ac:dyDescent="0.3">
      <c r="A40" s="18">
        <f>+A39+0.1</f>
        <v>5.0999999999999996</v>
      </c>
      <c r="B40" s="1" t="s">
        <v>130</v>
      </c>
      <c r="C40" s="24">
        <f>L3/C41</f>
        <v>28.873170731707315</v>
      </c>
      <c r="D40" s="24">
        <f>L3/D41</f>
        <v>31.317460317460316</v>
      </c>
      <c r="E40" s="24">
        <f>L3/E41</f>
        <v>53.646525679758305</v>
      </c>
      <c r="F40" s="24"/>
    </row>
    <row r="41" spans="1:7" x14ac:dyDescent="0.3">
      <c r="A41" s="18">
        <f t="shared" ref="A41:A44" si="4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7" x14ac:dyDescent="0.3">
      <c r="A42" s="18">
        <f t="shared" si="4"/>
        <v>5.2999999999999989</v>
      </c>
      <c r="B42" s="1" t="s">
        <v>132</v>
      </c>
      <c r="C42" s="24">
        <f>L3/C43</f>
        <v>57.2106030910562</v>
      </c>
      <c r="D42" s="24">
        <f>L3/D43</f>
        <v>47.467168597717546</v>
      </c>
      <c r="E42" s="24">
        <f>L3/E43</f>
        <v>47.63594422902095</v>
      </c>
      <c r="F42" s="24"/>
      <c r="G42" t="s">
        <v>152</v>
      </c>
    </row>
    <row r="43" spans="1:7" x14ac:dyDescent="0.3">
      <c r="A43" s="18">
        <f t="shared" si="4"/>
        <v>5.3999999999999986</v>
      </c>
      <c r="B43" s="3" t="s">
        <v>133</v>
      </c>
      <c r="C43" s="24">
        <f>'Financial Statements'!B68/('Financial Statements'!B28/1000)</f>
        <v>3.1037952827971451</v>
      </c>
      <c r="D43" s="24">
        <f>'Financial Statements'!C68/('Financial Statements'!C28/1000)</f>
        <v>3.740901453484597</v>
      </c>
      <c r="E43" s="24">
        <f>'Financial Statements'!D68/('Financial Statements'!D28/1000)</f>
        <v>3.7276473233382479</v>
      </c>
      <c r="F43" s="29" t="s">
        <v>169</v>
      </c>
    </row>
    <row r="44" spans="1:7" x14ac:dyDescent="0.3">
      <c r="A44" s="18">
        <f t="shared" si="4"/>
        <v>5.4999999999999982</v>
      </c>
      <c r="B44" s="1" t="s">
        <v>134</v>
      </c>
      <c r="C44" s="23">
        <f>-('Financial Statements'!B103)/'Financial Statements'!B22</f>
        <v>0.8957846958508261</v>
      </c>
      <c r="D44" s="23">
        <f>-('Financial Statements'!C103)/'Financial Statements'!C22</f>
        <v>0.90801647655259821</v>
      </c>
      <c r="E44" s="23">
        <f>-('Financial Statements'!D103)/'Financial Statements'!D22</f>
        <v>1.2603508038529201</v>
      </c>
      <c r="F44" s="23"/>
    </row>
    <row r="45" spans="1:7" x14ac:dyDescent="0.3">
      <c r="A45" s="18"/>
      <c r="B45" s="3" t="s">
        <v>135</v>
      </c>
      <c r="C45" s="24">
        <f>(-('Financial Statements'!B102))/('Financial Statements'!B28/1000)</f>
        <v>0.90905087211857494</v>
      </c>
      <c r="D45" s="24">
        <f>(-('Financial Statements'!C102))/('Financial Statements'!C28/1000)</f>
        <v>0.85781615672153533</v>
      </c>
      <c r="E45" s="24">
        <f>(-('Financial Statements'!D102))/('Financial Statements'!D28/1000)</f>
        <v>0.80333341434558025</v>
      </c>
      <c r="F45" s="29" t="s">
        <v>170</v>
      </c>
      <c r="G45" t="s">
        <v>153</v>
      </c>
    </row>
    <row r="46" spans="1:7" x14ac:dyDescent="0.3">
      <c r="A46" s="18">
        <f>+A44+0.1</f>
        <v>5.5999999999999979</v>
      </c>
      <c r="B46" s="1" t="s">
        <v>136</v>
      </c>
      <c r="C46" s="23">
        <f>C45/L3</f>
        <v>5.1193944479280004E-3</v>
      </c>
      <c r="D46" s="23">
        <f>D45/L3</f>
        <v>4.8308619514644104E-3</v>
      </c>
      <c r="E46" s="23">
        <f>E45/L3</f>
        <v>4.524037925018755E-3</v>
      </c>
      <c r="F46" s="23"/>
    </row>
    <row r="47" spans="1:7" x14ac:dyDescent="0.3">
      <c r="A47" s="18">
        <f t="shared" ref="A47:A50" si="5">+A45+0.1</f>
        <v>0.1</v>
      </c>
      <c r="B47" s="1" t="s">
        <v>137</v>
      </c>
      <c r="C47" s="23">
        <f>'Financial Statements'!B22/'Financial Statements'!B68</f>
        <v>1.9695887275023682</v>
      </c>
      <c r="D47" s="23">
        <f>'Financial Statements'!C22/'Financial Statements'!C68</f>
        <v>1.5007132667617689</v>
      </c>
      <c r="E47" s="23">
        <f>'Financial Statements'!D22/'Financial Statements'!D68</f>
        <v>0.87866358530127486</v>
      </c>
      <c r="F47" s="23"/>
    </row>
    <row r="48" spans="1:7" x14ac:dyDescent="0.3">
      <c r="A48" s="18">
        <f t="shared" si="5"/>
        <v>5.6999999999999975</v>
      </c>
      <c r="B48" s="1" t="s">
        <v>138</v>
      </c>
      <c r="C48" s="23">
        <f>'List of Ratios'!C21/('Financial Statements'!B59+'Financial Statements'!B68)</f>
        <v>0.79821026391589978</v>
      </c>
      <c r="D48" s="23">
        <f>'List of Ratios'!D21/('Financial Statements'!C59+'Financial Statements'!C68)</f>
        <v>0.63270343097400639</v>
      </c>
      <c r="E48" s="23">
        <f>'List of Ratios'!E21/('Financial Statements'!D59+'Financial Statements'!D68)</f>
        <v>0.40418033486579757</v>
      </c>
      <c r="F48" s="29" t="s">
        <v>171</v>
      </c>
    </row>
    <row r="49" spans="1:7" x14ac:dyDescent="0.3">
      <c r="A49" s="18">
        <f t="shared" si="5"/>
        <v>0.2</v>
      </c>
      <c r="B49" s="1" t="s">
        <v>128</v>
      </c>
      <c r="C49" s="26">
        <f>C37</f>
        <v>0.28292440929256851</v>
      </c>
      <c r="D49" s="26">
        <f t="shared" ref="D49:E49" si="6">D37</f>
        <v>0.26974205275183616</v>
      </c>
      <c r="E49" s="26">
        <f t="shared" si="6"/>
        <v>0.1772557180259843</v>
      </c>
      <c r="F49" s="26"/>
    </row>
    <row r="50" spans="1:7" x14ac:dyDescent="0.3">
      <c r="A50" s="18">
        <f t="shared" si="5"/>
        <v>5.7999999999999972</v>
      </c>
      <c r="B50" s="1" t="s">
        <v>139</v>
      </c>
      <c r="C50" s="24">
        <f>C51/C19</f>
        <v>22.869571091304646</v>
      </c>
      <c r="D50" s="24">
        <f t="shared" ref="D50:E50" si="7">D51/D19</f>
        <v>24.808119899112555</v>
      </c>
      <c r="E50" s="24">
        <f t="shared" si="7"/>
        <v>38.379184937810301</v>
      </c>
      <c r="F50" s="24"/>
      <c r="G50" t="s">
        <v>152</v>
      </c>
    </row>
    <row r="51" spans="1:7" x14ac:dyDescent="0.3">
      <c r="A51" s="18"/>
      <c r="B51" s="3" t="s">
        <v>140</v>
      </c>
      <c r="C51" s="27">
        <f>L4+('Financial Statements'!B55+'Financial Statements'!B59)-'Financial Statements'!B36</f>
        <v>2985416.6798299998</v>
      </c>
      <c r="D51" s="27">
        <f>L4+('Financial Statements'!C55+'Financial Statements'!C59)-'Financial Statements'!C36</f>
        <v>2982754.6798299998</v>
      </c>
      <c r="E51" s="27">
        <f>L4+('Financial Statements'!D55+'Financial Statements'!D59)-'Financial Statements'!D36</f>
        <v>2968399.6798299998</v>
      </c>
      <c r="F51" s="27" t="s">
        <v>174</v>
      </c>
    </row>
    <row r="53" spans="1:7" x14ac:dyDescent="0.3">
      <c r="A53" s="18">
        <v>6</v>
      </c>
      <c r="B53" s="7" t="s">
        <v>155</v>
      </c>
      <c r="G53" t="s">
        <v>161</v>
      </c>
    </row>
    <row r="54" spans="1:7" x14ac:dyDescent="0.3">
      <c r="A54">
        <v>6.1</v>
      </c>
      <c r="B54" t="s">
        <v>4</v>
      </c>
      <c r="C54" s="23">
        <f>('Financial Statements'!B6-'Financial Statements'!C6)/'Financial Statements'!C6</f>
        <v>6.3239764351428418E-2</v>
      </c>
      <c r="D54" s="23">
        <f>('Financial Statements'!C6-'Financial Statements'!D6)/'Financial Statements'!D6</f>
        <v>0.34720743656765435</v>
      </c>
      <c r="G54" s="23">
        <f>(D54+C54)/2</f>
        <v>0.20522360045954138</v>
      </c>
    </row>
    <row r="55" spans="1:7" x14ac:dyDescent="0.3">
      <c r="A55">
        <v>6.2</v>
      </c>
      <c r="B55" t="s">
        <v>5</v>
      </c>
      <c r="C55" s="23">
        <f>('Financial Statements'!B7-'Financial Statements'!C7)/'Financial Statements'!C7</f>
        <v>0.14181951041286078</v>
      </c>
      <c r="D55" s="23">
        <f>('Financial Statements'!C7-'Financial Statements'!D7)/'Financial Statements'!D7</f>
        <v>0.27259708376729652</v>
      </c>
      <c r="G55" s="23">
        <f t="shared" ref="G55:G69" si="8">(D55+C55)/2</f>
        <v>0.20720829709007865</v>
      </c>
    </row>
    <row r="56" spans="1:7" x14ac:dyDescent="0.3">
      <c r="A56">
        <v>6.3</v>
      </c>
      <c r="B56" t="s">
        <v>156</v>
      </c>
      <c r="C56" s="23">
        <f>('Financial Statements'!B8-'Financial Statements'!C8)/'Financial Statements'!C8</f>
        <v>7.7937876041846058E-2</v>
      </c>
      <c r="D56" s="23">
        <f>('Financial Statements'!C8-'Financial Statements'!D8)/'Financial Statements'!D8</f>
        <v>0.33259384733074693</v>
      </c>
      <c r="G56" s="23">
        <f t="shared" si="8"/>
        <v>0.20526586168629649</v>
      </c>
    </row>
    <row r="57" spans="1:7" x14ac:dyDescent="0.3">
      <c r="A57" s="18">
        <v>6.4</v>
      </c>
      <c r="B57" t="s">
        <v>157</v>
      </c>
      <c r="C57" s="23">
        <f>('Financial Statements'!B13-'Financial Statements'!C13)/'Financial Statements'!C13</f>
        <v>0.11741997958596143</v>
      </c>
      <c r="D57" s="23">
        <f>('Financial Statements'!C13-'Financial Statements'!D13)/'Financial Statements'!D13</f>
        <v>0.45619116582186819</v>
      </c>
      <c r="G57" s="23">
        <f t="shared" si="8"/>
        <v>0.28680557270391482</v>
      </c>
    </row>
    <row r="58" spans="1:7" x14ac:dyDescent="0.3">
      <c r="A58">
        <v>6.5</v>
      </c>
      <c r="B58" s="1" t="s">
        <v>11</v>
      </c>
      <c r="C58" s="23">
        <f>('Financial Statements'!B15-'Financial Statements'!C15)/'Financial Statements'!C15</f>
        <v>0.19791001186456147</v>
      </c>
      <c r="D58" s="23">
        <f>('Financial Statements'!C15-'Financial Statements'!D15)/'Financial Statements'!D15</f>
        <v>0.16862201365187712</v>
      </c>
      <c r="G58" s="23">
        <f t="shared" si="8"/>
        <v>0.1832660127582193</v>
      </c>
    </row>
    <row r="59" spans="1:7" x14ac:dyDescent="0.3">
      <c r="A59">
        <v>6.6</v>
      </c>
      <c r="B59" s="1" t="s">
        <v>12</v>
      </c>
      <c r="C59" s="23">
        <f>('Financial Statements'!B16-'Financial Statements'!C16)/'Financial Statements'!C16</f>
        <v>0.14203795567287125</v>
      </c>
      <c r="D59" s="23">
        <f>('Financial Statements'!C16-'Financial Statements'!D16)/'Financial Statements'!D16</f>
        <v>0.10328379192608958</v>
      </c>
      <c r="G59" s="23">
        <f t="shared" si="8"/>
        <v>0.12266087379948042</v>
      </c>
    </row>
    <row r="60" spans="1:7" x14ac:dyDescent="0.3">
      <c r="A60">
        <v>6.7</v>
      </c>
      <c r="B60" s="1" t="s">
        <v>26</v>
      </c>
      <c r="C60" s="23">
        <f>('Financial Statements'!B36-'Financial Statements'!C36)/'Financial Statements'!C36</f>
        <v>-0.32323983972524328</v>
      </c>
      <c r="D60" s="23">
        <f>('Financial Statements'!C36-'Financial Statements'!D36)/'Financial Statements'!D36</f>
        <v>-8.0913299663299659E-2</v>
      </c>
      <c r="G60" s="23">
        <f t="shared" si="8"/>
        <v>-0.20207656969427146</v>
      </c>
    </row>
    <row r="61" spans="1:7" x14ac:dyDescent="0.3">
      <c r="A61" s="18">
        <v>6.8</v>
      </c>
      <c r="B61" t="s">
        <v>31</v>
      </c>
      <c r="C61" s="23">
        <f>('Financial Statements'!B42-'Financial Statements'!C42)/'Financial Statements'!C42</f>
        <v>4.2199412619775131E-3</v>
      </c>
      <c r="D61" s="23">
        <f>('Financial Statements'!C42-'Financial Statements'!D42)/'Financial Statements'!D42</f>
        <v>-6.176894226687913E-2</v>
      </c>
      <c r="G61" s="23">
        <f t="shared" si="8"/>
        <v>-2.8774500502450808E-2</v>
      </c>
    </row>
    <row r="62" spans="1:7" x14ac:dyDescent="0.3">
      <c r="A62">
        <v>6.9</v>
      </c>
      <c r="B62" t="s">
        <v>50</v>
      </c>
      <c r="C62" s="23">
        <f>('Financial Statements'!B47-'Financial Statements'!C47)/'Financial Statements'!C47</f>
        <v>5.4772720964443994E-3</v>
      </c>
      <c r="D62" s="23">
        <f>('Financial Statements'!C47-'Financial Statements'!D47)/'Financial Statements'!D47</f>
        <v>0.19975579297904814</v>
      </c>
      <c r="G62" s="23">
        <f t="shared" si="8"/>
        <v>0.10261653253774627</v>
      </c>
    </row>
    <row r="63" spans="1:7" x14ac:dyDescent="0.3">
      <c r="A63" s="24">
        <v>6.1</v>
      </c>
      <c r="B63" t="s">
        <v>33</v>
      </c>
      <c r="C63" s="23">
        <f>('Financial Statements'!B48-'Financial Statements'!C48)/'Financial Statements'!C48</f>
        <v>4.9942735369029236E-3</v>
      </c>
      <c r="D63" s="23">
        <f>('Financial Statements'!C48-'Financial Statements'!D48)/'Financial Statements'!D48</f>
        <v>8.3714123400681711E-2</v>
      </c>
      <c r="G63" s="23">
        <f t="shared" si="8"/>
        <v>4.4354198468792315E-2</v>
      </c>
    </row>
    <row r="64" spans="1:7" x14ac:dyDescent="0.3">
      <c r="A64">
        <v>6.11</v>
      </c>
      <c r="B64" t="s">
        <v>159</v>
      </c>
      <c r="C64" s="23">
        <f>('Financial Statements'!B55-'Financial Statements'!C55)/'Financial Statements'!C55</f>
        <v>0.15759908457297409</v>
      </c>
      <c r="D64" s="23">
        <f>('Financial Statements'!C55-'Financial Statements'!D55)/'Financial Statements'!D55</f>
        <v>9.5748318705117977E-2</v>
      </c>
      <c r="G64" s="23">
        <f t="shared" si="8"/>
        <v>0.12667370163904604</v>
      </c>
    </row>
    <row r="65" spans="1:7" x14ac:dyDescent="0.3">
      <c r="A65" s="18">
        <v>6.12</v>
      </c>
      <c r="B65" t="s">
        <v>40</v>
      </c>
      <c r="C65" s="23">
        <f>('Financial Statements'!B56-'Financial Statements'!C56)/'Financial Statements'!C56</f>
        <v>0.22713398841258836</v>
      </c>
      <c r="D65" s="23">
        <f>('Financial Statements'!C56-'Financial Statements'!D56)/'Financial Statements'!D56</f>
        <v>0.19061219067860938</v>
      </c>
      <c r="G65" s="23">
        <f t="shared" si="8"/>
        <v>0.20887308954559886</v>
      </c>
    </row>
    <row r="66" spans="1:7" x14ac:dyDescent="0.3">
      <c r="A66">
        <v>6.13</v>
      </c>
      <c r="B66" s="1" t="s">
        <v>158</v>
      </c>
      <c r="C66" s="23">
        <f>('Financial Statements'!B61-'Financial Statements'!C61)/'Financial Statements'!C61</f>
        <v>-8.8222075835277747E-2</v>
      </c>
      <c r="D66" s="23">
        <f>('Financial Statements'!C61-'Financial Statements'!D61)/'Financial Statements'!D61</f>
        <v>6.0552243775994566E-2</v>
      </c>
      <c r="G66" s="23">
        <f t="shared" si="8"/>
        <v>-1.383491602964159E-2</v>
      </c>
    </row>
    <row r="67" spans="1:7" x14ac:dyDescent="0.3">
      <c r="A67">
        <v>6.14</v>
      </c>
      <c r="B67" t="s">
        <v>41</v>
      </c>
      <c r="C67" s="23">
        <f>('Financial Statements'!B62-'Financial Statements'!C62)/'Financial Statements'!C62</f>
        <v>4.9219900525160468E-2</v>
      </c>
      <c r="D67" s="23">
        <f>('Financial Statements'!C62-'Financial Statements'!D62)/'Financial Statements'!D62</f>
        <v>0.11356841449783213</v>
      </c>
      <c r="G67" s="23">
        <f t="shared" si="8"/>
        <v>8.1394157511496298E-2</v>
      </c>
    </row>
    <row r="68" spans="1:7" x14ac:dyDescent="0.3">
      <c r="A68">
        <v>6.15</v>
      </c>
      <c r="B68" t="s">
        <v>45</v>
      </c>
      <c r="C68" s="23">
        <f>('Financial Statements'!B68-'Financial Statements'!C68)/'Financial Statements'!C68</f>
        <v>-0.19682992550324932</v>
      </c>
      <c r="D68" s="23">
        <f>('Financial Statements'!C68-'Financial Statements'!D68)/'Financial Statements'!D68</f>
        <v>-3.4420483937617659E-2</v>
      </c>
      <c r="G68" s="23">
        <f t="shared" si="8"/>
        <v>-0.11562520472043349</v>
      </c>
    </row>
    <row r="69" spans="1:7" x14ac:dyDescent="0.3">
      <c r="A69" s="18">
        <v>6.16</v>
      </c>
      <c r="B69" t="s">
        <v>46</v>
      </c>
      <c r="C69" s="23">
        <f>('Financial Statements'!B69-'Financial Statements'!C69)/'Financial Statements'!C69</f>
        <v>4.9942735369029236E-3</v>
      </c>
      <c r="D69" s="23">
        <f>('Financial Statements'!C69-'Financial Statements'!D69)/'Financial Statements'!D69</f>
        <v>8.3714123400681711E-2</v>
      </c>
      <c r="G69" s="23">
        <f t="shared" si="8"/>
        <v>4.4354198468792315E-2</v>
      </c>
    </row>
    <row r="71" spans="1:7" x14ac:dyDescent="0.3">
      <c r="A71">
        <v>7</v>
      </c>
      <c r="B71" s="7" t="s">
        <v>160</v>
      </c>
    </row>
    <row r="72" spans="1:7" x14ac:dyDescent="0.3">
      <c r="A72">
        <v>7.1</v>
      </c>
      <c r="B72" s="1" t="s">
        <v>146</v>
      </c>
      <c r="C72" s="23">
        <f>'Financial Statements'!B12/'Financial Statements'!B8</f>
        <v>0.56690369438639909</v>
      </c>
      <c r="D72" s="23">
        <f>'Financial Statements'!C12/'Financial Statements'!C8</f>
        <v>0.58220640374832222</v>
      </c>
      <c r="E72" s="23">
        <f>'Financial Statements'!D12/'Financial Statements'!D8</f>
        <v>0.61766752272189129</v>
      </c>
      <c r="F72" s="23"/>
    </row>
    <row r="73" spans="1:7" x14ac:dyDescent="0.3">
      <c r="A73">
        <v>7.2</v>
      </c>
      <c r="B73" s="1" t="s">
        <v>89</v>
      </c>
      <c r="C73" s="23">
        <f>'Financial Statements'!B13/'Financial Statements'!B8</f>
        <v>0.43309630561360085</v>
      </c>
      <c r="D73" s="23">
        <f>'Financial Statements'!C13/'Financial Statements'!C8</f>
        <v>0.41779359625167778</v>
      </c>
      <c r="E73" s="23">
        <f>'Financial Statements'!D13/'Financial Statements'!D8</f>
        <v>0.38233247727810865</v>
      </c>
      <c r="F73" s="23"/>
    </row>
    <row r="74" spans="1:7" x14ac:dyDescent="0.3">
      <c r="A74">
        <v>7.3</v>
      </c>
      <c r="B74" s="1" t="s">
        <v>11</v>
      </c>
      <c r="C74" s="23">
        <f>'Financial Statements'!B15/'Financial Statements'!B8</f>
        <v>6.657148363798665E-2</v>
      </c>
      <c r="D74" s="23">
        <f>'Financial Statements'!C15/'Financial Statements'!C8</f>
        <v>5.9904269074427925E-2</v>
      </c>
      <c r="E74" s="23">
        <f>'Financial Statements'!D15/'Financial Statements'!D8</f>
        <v>6.8309564140393061E-2</v>
      </c>
      <c r="F74" s="23"/>
    </row>
    <row r="75" spans="1:7" x14ac:dyDescent="0.3">
      <c r="A75">
        <v>7.4</v>
      </c>
      <c r="B75" s="1" t="s">
        <v>12</v>
      </c>
      <c r="C75" s="23">
        <f>'Financial Statements'!B16/'Financial Statements'!B8</f>
        <v>6.3637378020328261E-2</v>
      </c>
      <c r="D75" s="23">
        <f>'Financial Statements'!C16/'Financial Statements'!C8</f>
        <v>6.006555190163388E-2</v>
      </c>
      <c r="E75" s="23">
        <f>'Financial Statements'!D16/'Financial Statements'!D8</f>
        <v>7.2549769593646979E-2</v>
      </c>
      <c r="F75" s="23"/>
    </row>
    <row r="76" spans="1:7" x14ac:dyDescent="0.3">
      <c r="A76">
        <v>7.5</v>
      </c>
      <c r="B76" s="1" t="s">
        <v>14</v>
      </c>
      <c r="C76" s="23">
        <f>'Financial Statements'!B18/'Financial Statements'!B8</f>
        <v>0.30288744395528594</v>
      </c>
      <c r="D76" s="23">
        <f>'Financial Statements'!C18/'Financial Statements'!C8</f>
        <v>0.29782377527561593</v>
      </c>
      <c r="E76" s="23">
        <f>'Financial Statements'!D18/'Financial Statements'!D8</f>
        <v>0.24147314354406862</v>
      </c>
      <c r="F76" s="23"/>
    </row>
    <row r="77" spans="1:7" x14ac:dyDescent="0.3">
      <c r="A77">
        <v>7.6</v>
      </c>
      <c r="B77" s="1" t="s">
        <v>93</v>
      </c>
      <c r="C77" s="23">
        <f>'Financial Statements'!B22/'Financial Statements'!B8</f>
        <v>0.25309640705199732</v>
      </c>
      <c r="D77" s="23">
        <f>'Financial Statements'!C22/'Financial Statements'!C8</f>
        <v>0.25881793355694238</v>
      </c>
      <c r="E77" s="23">
        <f>'Financial Statements'!D22/'Financial Statements'!D8</f>
        <v>0.20913611278072236</v>
      </c>
      <c r="F77" s="23"/>
    </row>
    <row r="79" spans="1:7" x14ac:dyDescent="0.3">
      <c r="A79" s="18">
        <v>8</v>
      </c>
      <c r="B79" s="11" t="s">
        <v>94</v>
      </c>
      <c r="C79" s="23">
        <f>'Financial Statements'!B21/'Financial Statements'!B20</f>
        <v>0.16204461684424407</v>
      </c>
      <c r="D79" s="23">
        <f>'Financial Statements'!C21/'Financial Statements'!C20</f>
        <v>0.13302260844085087</v>
      </c>
      <c r="E79" s="23">
        <f>'Financial Statements'!D21/'Financial Statements'!D20</f>
        <v>0.14428164731484103</v>
      </c>
      <c r="F79" s="23"/>
    </row>
    <row r="80" spans="1:7" x14ac:dyDescent="0.3">
      <c r="A80" s="18">
        <v>9</v>
      </c>
      <c r="B80" s="11" t="s">
        <v>95</v>
      </c>
      <c r="C80" s="23">
        <f>(-'Financial Statements'!B96/'Financial Statements'!B8)</f>
        <v>2.7155058732831552E-2</v>
      </c>
      <c r="D80" s="23">
        <f>(-'Financial Statements'!C96/'Financial Statements'!C8)</f>
        <v>3.0302036264033657E-2</v>
      </c>
      <c r="E80" s="23">
        <f>(-'Financial Statements'!D96/'Financial Statements'!D8)</f>
        <v>2.6625138881299748E-2</v>
      </c>
      <c r="F80" s="23"/>
    </row>
    <row r="81" spans="1:6" x14ac:dyDescent="0.3">
      <c r="A81" s="18">
        <v>10</v>
      </c>
      <c r="B81" s="11" t="s">
        <v>96</v>
      </c>
      <c r="C81" s="23">
        <f>-'Financial Statements'!B96/'Financial Statements'!B47</f>
        <v>4.9266160570508394E-2</v>
      </c>
      <c r="D81" s="23">
        <f>-'Financial Statements'!C96/'Financial Statements'!C47</f>
        <v>5.1280034788079534E-2</v>
      </c>
      <c r="E81" s="23">
        <f>-'Financial Statements'!D96/'Financial Statements'!D47</f>
        <v>4.0566116275842931E-2</v>
      </c>
      <c r="F81" s="23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diego mack</cp:lastModifiedBy>
  <dcterms:created xsi:type="dcterms:W3CDTF">2020-05-18T16:32:37Z</dcterms:created>
  <dcterms:modified xsi:type="dcterms:W3CDTF">2023-11-11T16:01:11Z</dcterms:modified>
</cp:coreProperties>
</file>