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zono\Downloads\"/>
    </mc:Choice>
  </mc:AlternateContent>
  <xr:revisionPtr revIDLastSave="0" documentId="8_{B50E7D75-1DCE-428F-BD44-4CB05EDACFF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D46" i="3"/>
  <c r="C53" i="3"/>
  <c r="C51" i="3" s="1"/>
  <c r="C50" i="3" s="1"/>
  <c r="C46" i="3"/>
  <c r="D45" i="3"/>
  <c r="E45" i="3"/>
  <c r="C45" i="3"/>
  <c r="D43" i="3"/>
  <c r="E43" i="3"/>
  <c r="C43" i="3"/>
  <c r="C42" i="3" s="1"/>
  <c r="D31" i="3"/>
  <c r="E31" i="3"/>
  <c r="C31" i="3"/>
  <c r="D30" i="3"/>
  <c r="E30" i="3"/>
  <c r="C30" i="3"/>
  <c r="C32" i="3"/>
  <c r="D32" i="3"/>
  <c r="E32" i="3"/>
  <c r="D29" i="3"/>
  <c r="E29" i="3"/>
  <c r="C29" i="3"/>
  <c r="D53" i="3"/>
  <c r="E53" i="3"/>
  <c r="E51" i="3" s="1"/>
  <c r="E50" i="3" s="1"/>
  <c r="D27" i="3"/>
  <c r="E27" i="3"/>
  <c r="C27" i="3"/>
  <c r="D26" i="3"/>
  <c r="E26" i="3"/>
  <c r="C26" i="3"/>
  <c r="D25" i="3"/>
  <c r="E25" i="3"/>
  <c r="C25" i="3"/>
  <c r="D11" i="3"/>
  <c r="D12" i="3" s="1"/>
  <c r="E11" i="3"/>
  <c r="E12" i="3" s="1"/>
  <c r="C11" i="3"/>
  <c r="C12" i="3" s="1"/>
  <c r="D50" i="3"/>
  <c r="D51" i="3"/>
  <c r="D49" i="3"/>
  <c r="E49" i="3"/>
  <c r="C49" i="3"/>
  <c r="D48" i="3"/>
  <c r="E48" i="3"/>
  <c r="C48" i="3"/>
  <c r="D52" i="3"/>
  <c r="E52" i="3"/>
  <c r="C52" i="3"/>
  <c r="D47" i="3"/>
  <c r="E47" i="3"/>
  <c r="C47" i="3"/>
  <c r="D44" i="3"/>
  <c r="E44" i="3"/>
  <c r="C44" i="3"/>
  <c r="E40" i="3"/>
  <c r="D40" i="3"/>
  <c r="C40" i="3"/>
  <c r="D41" i="3"/>
  <c r="E41" i="3"/>
  <c r="C41" i="3"/>
  <c r="D37" i="3"/>
  <c r="E37" i="3"/>
  <c r="C37" i="3"/>
  <c r="D36" i="3"/>
  <c r="E36" i="3"/>
  <c r="C36" i="3"/>
  <c r="C34" i="3"/>
  <c r="D35" i="3"/>
  <c r="E35" i="3"/>
  <c r="C35" i="3"/>
  <c r="D34" i="3"/>
  <c r="E34" i="3"/>
  <c r="D28" i="3"/>
  <c r="E28" i="3"/>
  <c r="C28" i="3"/>
  <c r="D22" i="3"/>
  <c r="E22" i="3"/>
  <c r="C22" i="3"/>
  <c r="D20" i="3"/>
  <c r="E20" i="3"/>
  <c r="C20" i="3"/>
  <c r="D21" i="3"/>
  <c r="E21" i="3"/>
  <c r="C21" i="3"/>
  <c r="D18" i="3"/>
  <c r="E18" i="3"/>
  <c r="C18" i="3"/>
  <c r="D19" i="3"/>
  <c r="E19" i="3"/>
  <c r="C19" i="3"/>
  <c r="D17" i="3"/>
  <c r="E17" i="3"/>
  <c r="C17" i="3"/>
  <c r="E13" i="3"/>
  <c r="D13" i="3"/>
  <c r="C13" i="3"/>
  <c r="D14" i="3"/>
  <c r="E14" i="3"/>
  <c r="C14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<sst xmlns="http://schemas.openxmlformats.org/spreadsheetml/2006/main" count="177" uniqueCount="154">
  <si>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</si>
  <si>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</si>
  <si>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</si>
  <si>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</si>
  <si>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</si>
  <si>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</si>
  <si>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</si>
  <si>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</si>
  <si>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</si>
  <si>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</si>
  <si>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</si>
  <si>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</si>
  <si>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</si>
  <si>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</si>
  <si>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</si>
  <si>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</si>
  <si>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</si>
  <si>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</si>
  <si>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</si>
  <si>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</si>
  <si>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</si>
  <si>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</si>
  <si>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</si>
  <si>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</si>
  <si>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</si>
  <si>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</si>
  <si>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</si>
  <si>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</si>
  <si>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</si>
  <si>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</si>
  <si>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</si>
  <si>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</si>
  <si>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</si>
  <si>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</si>
  <si>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</si>
  <si>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</si>
  <si>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</si>
  <si>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</si>
  <si>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</si>
  <si>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</si>
  <si>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</si>
  <si>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</si>
  <si>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</si>
  <si>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</si>
  <si>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</si>
  <si>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</si>
  <si>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</si>
  <si>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</si>
  <si>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</si>
  <si>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</si>
  <si>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</si>
  <si>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</si>
  <si>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</si>
  <si>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</si>
  <si>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</si>
  <si>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</si>
  <si>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</si>
  <si>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</si>
  <si>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</si>
  <si>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</si>
  <si>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</si>
  <si>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</si>
  <si>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</si>
  <si>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</si>
  <si>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</si>
  <si>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</si>
  <si>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</si>
  <si>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</si>
  <si>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</si>
  <si>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</si>
  <si>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</si>
  <si>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</si>
  <si>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</si>
  <si>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</si>
  <si>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</si>
  <si>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</si>
  <si>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</si>
  <si>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</si>
  <si>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</si>
  <si>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</si>
  <si>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</si>
  <si>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</si>
  <si>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</si>
  <si>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</si>
  <si>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</si>
  <si>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</si>
  <si>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</si>
  <si>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</si>
  <si>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</si>
  <si>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</si>
  <si>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</si>
  <si>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</si>
  <si>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</si>
  <si>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</si>
  <si>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</si>
  <si>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</si>
  <si>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</si>
  <si>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</si>
  <si>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</si>
  <si>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</si>
  <si>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</si>
  <si>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</si>
  <si>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</si>
  <si>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</si>
  <si>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</si>
  <si>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</si>
  <si>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</si>
  <si>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</si>
  <si>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</si>
  <si>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</si>
  <si>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</si>
  <si>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</si>
  <si>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</si>
  <si>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</si>
  <si>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</si>
  <si>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</si>
  <si>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</si>
  <si>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</si>
  <si>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</si>
  <si>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</si>
  <si>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</si>
  <si>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</si>
  <si>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</si>
  <si>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</si>
  <si>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</si>
  <si>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</si>
  <si>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</si>
  <si>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</si>
  <si>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</si>
  <si>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</si>
  <si>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</si>
  <si>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</si>
  <si>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</si>
  <si>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</si>
  <si>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</si>
  <si>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</si>
  <si>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</si>
  <si>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</si>
  <si>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</si>
  <si>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</si>
  <si>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</si>
  <si>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</si>
  <si>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</si>
  <si>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</si>
  <si>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</si>
  <si>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</si>
  <si>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</si>
  <si>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</si>
  <si>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</si>
  <si>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</si>
  <si>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FCF</t>
  </si>
  <si>
    <t>Capital Employed</t>
  </si>
  <si>
    <t xml:space="preserve">Equity value 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</si>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</sst>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4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3" workbookViewId="0">
      <selection activeCell="A27" sqref="A27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8" workbookViewId="0">
      <selection activeCell="D1" sqref="D1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7" t="s">
        <v>1</v>
      </c>
      <c r="B2" s="27"/>
      <c r="C2" s="27"/>
      <c r="D2" s="27"/>
    </row>
    <row r="3" spans="1:10" x14ac:dyDescent="0.35">
      <c r="B3" s="26" t="s">
        <v>23</v>
      </c>
      <c r="C3" s="26"/>
      <c r="D3" s="26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7" t="s">
        <v>24</v>
      </c>
      <c r="B31" s="27"/>
      <c r="C31" s="27"/>
      <c r="D31" s="27"/>
    </row>
    <row r="32" spans="1:4" x14ac:dyDescent="0.35">
      <c r="B32" s="26" t="s">
        <v>142</v>
      </c>
      <c r="C32" s="26"/>
      <c r="D32" s="26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7" t="s">
        <v>55</v>
      </c>
      <c r="B71" s="27"/>
      <c r="C71" s="27"/>
      <c r="D71" s="27"/>
    </row>
    <row r="72" spans="1:4" x14ac:dyDescent="0.35">
      <c r="B72" s="26" t="s">
        <v>23</v>
      </c>
      <c r="C72" s="26"/>
      <c r="D72" s="26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topLeftCell="A49" workbookViewId="0">
      <selection activeCell="F65" sqref="F65"/>
    </sheetView>
  </sheetViews>
  <sheetFormatPr defaultRowHeight="14.5" x14ac:dyDescent="0.35"/>
  <cols>
    <col min="1" max="1" width="4.6328125" customWidth="1"/>
    <col min="2" max="2" width="44.90625" customWidth="1"/>
    <col min="3" max="5" width="17.08984375" bestFit="1" customWidth="1"/>
    <col min="6" max="6" width="26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 t="s">
        <v>153</v>
      </c>
      <c r="G1" s="19"/>
      <c r="H1" s="19"/>
      <c r="I1" s="19"/>
      <c r="J1" s="19"/>
    </row>
    <row r="2" spans="1:10" x14ac:dyDescent="0.35">
      <c r="C2" s="26" t="s">
        <v>23</v>
      </c>
      <c r="D2" s="26"/>
      <c r="E2" s="26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5">
      <c r="A6" s="18">
        <f t="shared" ref="A6:A13" si="0">+A5+0.1</f>
        <v>1.2000000000000002</v>
      </c>
      <c r="B6" s="1" t="s">
        <v>101</v>
      </c>
      <c r="C6" s="24">
        <f>('Financial Statements'!B36+'Financial Statements'!B37+'Financial Statements'!B38)/'Financial Statements'!B56</f>
        <v>0.49673338442155579</v>
      </c>
      <c r="D6" s="24">
        <f>('Financial Statements'!C36+'Financial Statements'!C37+'Financial Statements'!C38)/'Financial Statements'!C56</f>
        <v>0.70860927152317876</v>
      </c>
      <c r="E6" s="24">
        <f>('Financial Statements'!D36+'Financial Statements'!D37+'Financial Statements'!D38)/'Financial Statements'!D56</f>
        <v>1.0158550933657204</v>
      </c>
    </row>
    <row r="7" spans="1:10" x14ac:dyDescent="0.35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35">
      <c r="A8" s="18">
        <f t="shared" si="0"/>
        <v>1.4000000000000004</v>
      </c>
      <c r="B8" s="1" t="s">
        <v>103</v>
      </c>
      <c r="C8" s="24">
        <f>(('Financial Statements'!B42)/(('Financial Statements'!B17-'Financial Statements'!B79)/365))</f>
        <v>1228.1708953554833</v>
      </c>
      <c r="D8" s="24">
        <f>(('Financial Statements'!C42)/(('Financial Statements'!C17-'Financial Statements'!C79)/365))</f>
        <v>1509.5279575499187</v>
      </c>
      <c r="E8" s="24">
        <f>(('Financial Statements'!D42)/(('Financial Statements'!D17-'Financial Statements'!D79)/365))</f>
        <v>1899.7263870780819</v>
      </c>
    </row>
    <row r="9" spans="1:10" x14ac:dyDescent="0.35">
      <c r="A9" s="18">
        <f t="shared" si="0"/>
        <v>1.5000000000000004</v>
      </c>
      <c r="B9" s="1" t="s">
        <v>104</v>
      </c>
      <c r="C9" s="24">
        <f>('Financial Statements'!B39/'Financial Statements'!B12)*365</f>
        <v>8.0756980666171607</v>
      </c>
      <c r="D9" s="24">
        <f>('Financial Statements'!C39/'Financial Statements'!C12)*365</f>
        <v>11.27659274770989</v>
      </c>
      <c r="E9" s="24">
        <f>('Financial Statements'!D39/'Financial Statements'!D12)*365</f>
        <v>8.7418833562358831</v>
      </c>
    </row>
    <row r="10" spans="1:10" x14ac:dyDescent="0.35">
      <c r="A10" s="18">
        <f t="shared" si="0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 x14ac:dyDescent="0.35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 x14ac:dyDescent="0.35">
      <c r="A12" s="18">
        <f t="shared" si="0"/>
        <v>1.8000000000000007</v>
      </c>
      <c r="B12" s="1" t="s">
        <v>107</v>
      </c>
      <c r="C12" s="24">
        <f>C11+C9-C10</f>
        <v>-70.521753872831582</v>
      </c>
      <c r="D12" s="24">
        <f t="shared" ref="D12:E12" si="1">D11+D9-D10</f>
        <v>-56.355166632892498</v>
      </c>
      <c r="E12" s="24">
        <f t="shared" si="1"/>
        <v>-60.872869206641568</v>
      </c>
    </row>
    <row r="13" spans="1:10" x14ac:dyDescent="0.35">
      <c r="A13" s="18">
        <f t="shared" si="0"/>
        <v>1.9000000000000008</v>
      </c>
      <c r="B13" s="1" t="s">
        <v>108</v>
      </c>
      <c r="C13" s="23">
        <f>('List of Ratios'!C14/'Financial Statements'!B8)</f>
        <v>-4.711052727678481E-2</v>
      </c>
      <c r="D13" s="23">
        <f>('List of Ratios'!D14/'Financial Statements'!C8)</f>
        <v>2.557289573748623E-2</v>
      </c>
      <c r="E13" s="23">
        <f>('List of Ratios'!E14/'Financial Statements'!D8)</f>
        <v>0.13959528623208203</v>
      </c>
    </row>
    <row r="14" spans="1:10" x14ac:dyDescent="0.35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 s="23">
        <f>('Financial Statements'!B8-'Financial Statements'!B12)/'Financial Statements'!B8</f>
        <v>0.43309630561360085</v>
      </c>
      <c r="D17" s="23">
        <f>('Financial Statements'!C8-'Financial Statements'!C12)/'Financial Statements'!C8</f>
        <v>0.41779359625167778</v>
      </c>
      <c r="E17" s="23">
        <f>('Financial Statements'!D8-'Financial Statements'!D12)/'Financial Statements'!D8</f>
        <v>0.38233247727810865</v>
      </c>
    </row>
    <row r="18" spans="1:5" x14ac:dyDescent="0.35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</row>
    <row r="19" spans="1:5" x14ac:dyDescent="0.35">
      <c r="A19" s="18"/>
      <c r="B19" s="3" t="s">
        <v>112</v>
      </c>
      <c r="C19" s="24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Statements'!D18+'Financial Statements'!D79</f>
        <v>77344</v>
      </c>
    </row>
    <row r="20" spans="1:5" x14ac:dyDescent="0.35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5" x14ac:dyDescent="0.35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5" x14ac:dyDescent="0.35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116</v>
      </c>
    </row>
    <row r="25" spans="1:5" x14ac:dyDescent="0.35">
      <c r="A25" s="18">
        <f>+A24+0.1</f>
        <v>3.1</v>
      </c>
      <c r="B25" s="1" t="s">
        <v>117</v>
      </c>
      <c r="C25" s="24">
        <f>('Financial Statements'!B55)/'Financial Statements'!B68</f>
        <v>0.21960846226712977</v>
      </c>
      <c r="D25" s="24">
        <f>('Financial Statements'!C55)/'Financial Statements'!C68</f>
        <v>0.15236963068632112</v>
      </c>
      <c r="E25" s="24">
        <f>('Financial Statements'!D55)/'Financial Statements'!D68</f>
        <v>0.13426896646719416</v>
      </c>
    </row>
    <row r="26" spans="1:5" x14ac:dyDescent="0.35">
      <c r="A26" s="18">
        <f t="shared" ref="A26:A30" si="2">+A25+0.1</f>
        <v>3.2</v>
      </c>
      <c r="B26" s="1" t="s">
        <v>118</v>
      </c>
      <c r="C26" s="24">
        <f>('Financial Statements'!B59+'Financial Statements'!B55)/'Financial Statements'!B48</f>
        <v>0.31207778769967826</v>
      </c>
      <c r="D26" s="24">
        <f>('Financial Statements'!C59+'Financial Statements'!C55)/'Financial Statements'!C48</f>
        <v>0.33822884200090025</v>
      </c>
      <c r="E26" s="24">
        <f>('Financial Statements'!D59+'Financial Statements'!D55)/'Financial Statements'!D48</f>
        <v>0.33171960677765155</v>
      </c>
    </row>
    <row r="27" spans="1:5" x14ac:dyDescent="0.35">
      <c r="A27" s="18">
        <f t="shared" si="2"/>
        <v>3.3000000000000003</v>
      </c>
      <c r="B27" s="1" t="s">
        <v>119</v>
      </c>
      <c r="C27" s="24">
        <f>('Financial Statements'!B55+'Financial Statements'!B59)/('Financial Statements'!B55+'Financial Statements'!B59+'Financial Statements'!B68)</f>
        <v>0.68479525252085416</v>
      </c>
      <c r="D27" s="24">
        <f>('Financial Statements'!C55+'Financial Statements'!C59)/('Financial Statements'!C55+'Financial Statements'!C59+'Financial Statements'!C68)</f>
        <v>0.65298747586753136</v>
      </c>
      <c r="E27" s="24">
        <f>('Financial Statements'!D55+'Financial Statements'!D59)/('Financial Statements'!D55+'Financial Statements'!D59+'Financial Statements'!D68)</f>
        <v>0.62183482946422886</v>
      </c>
    </row>
    <row r="28" spans="1:5" x14ac:dyDescent="0.35">
      <c r="A28" s="18">
        <f t="shared" si="2"/>
        <v>3.4000000000000004</v>
      </c>
      <c r="B28" s="1" t="s">
        <v>120</v>
      </c>
      <c r="C28" s="24">
        <f>C21/'Financial Statements'!B114</f>
        <v>41.68830715532286</v>
      </c>
      <c r="D28" s="24">
        <f>D21/'Financial Statements'!C114</f>
        <v>40.546706363974693</v>
      </c>
      <c r="E28" s="24">
        <f>E21/'Financial Statements'!D114</f>
        <v>22.081279147235175</v>
      </c>
    </row>
    <row r="29" spans="1:5" x14ac:dyDescent="0.35">
      <c r="A29" s="18">
        <f t="shared" si="2"/>
        <v>3.5000000000000004</v>
      </c>
      <c r="B29" s="1" t="s">
        <v>121</v>
      </c>
      <c r="C29" s="24">
        <f>C21/('Financial Statements'!B105*-1+'Financial Statements'!B114)</f>
        <v>9.6258059316569948</v>
      </c>
      <c r="D29" s="24">
        <f>D21/('Financial Statements'!C105*-1+'Financial Statements'!C114)</f>
        <v>9.5260120661012504</v>
      </c>
      <c r="E29" s="24">
        <f>E21/('Financial Statements'!D105*-1+'Financial Statements'!D114)</f>
        <v>4.2408035314439259</v>
      </c>
    </row>
    <row r="30" spans="1:5" x14ac:dyDescent="0.35">
      <c r="A30" s="18">
        <f t="shared" si="2"/>
        <v>3.6000000000000005</v>
      </c>
      <c r="B30" s="1" t="s">
        <v>122</v>
      </c>
      <c r="C30" s="24">
        <f>('List of Ratios'!C32*1000000)/('Financial Statements'!B27*1000)</f>
        <v>7.2094392420604319</v>
      </c>
      <c r="D30" s="24">
        <f>('List of Ratios'!D32*1000000)/('Financial Statements'!C27*1000)</f>
        <v>6.7866687040364351</v>
      </c>
      <c r="E30" s="24">
        <f>('List of Ratios'!E32*1000000)/('Financial Statements'!D27*1000)</f>
        <v>5.1553357834855786</v>
      </c>
    </row>
    <row r="31" spans="1:5" x14ac:dyDescent="0.35">
      <c r="A31" s="18"/>
      <c r="B31" s="3" t="s">
        <v>123</v>
      </c>
      <c r="C31" s="24">
        <f>C30</f>
        <v>7.2094392420604319</v>
      </c>
      <c r="D31" s="24">
        <f t="shared" ref="D31:E31" si="3">D30</f>
        <v>6.7866687040364351</v>
      </c>
      <c r="E31" s="24">
        <f t="shared" si="3"/>
        <v>5.1553357834855786</v>
      </c>
    </row>
    <row r="32" spans="1:5" x14ac:dyDescent="0.35">
      <c r="A32" s="18"/>
      <c r="B32" s="1" t="s">
        <v>150</v>
      </c>
      <c r="C32" s="24">
        <f>'Financial Statements'!B91+'Financial Statements'!B96+'Financial Statements'!B104</f>
        <v>116908</v>
      </c>
      <c r="D32" s="24">
        <f>'Financial Statements'!C91+'Financial Statements'!C96+'Financial Statements'!C104</f>
        <v>113346</v>
      </c>
      <c r="E32" s="24">
        <f>'Financial Statements'!D91+'Financial Statements'!D96+'Financial Statements'!D104</f>
        <v>89456</v>
      </c>
    </row>
    <row r="33" spans="1:5" x14ac:dyDescent="0.35">
      <c r="A33" s="18">
        <f>+A24+1</f>
        <v>4</v>
      </c>
      <c r="B33" s="17" t="s">
        <v>124</v>
      </c>
    </row>
    <row r="34" spans="1:5" x14ac:dyDescent="0.35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35">
      <c r="A35" s="18">
        <f t="shared" ref="A35:A37" si="4"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</row>
    <row r="36" spans="1:5" x14ac:dyDescent="0.35">
      <c r="A36" s="18">
        <f t="shared" si="4"/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</row>
    <row r="37" spans="1:5" x14ac:dyDescent="0.35">
      <c r="A37" s="18">
        <f t="shared" si="4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5" x14ac:dyDescent="0.35">
      <c r="A38" s="18"/>
    </row>
    <row r="39" spans="1:5" x14ac:dyDescent="0.35">
      <c r="A39" s="18">
        <f>+A33+1</f>
        <v>5</v>
      </c>
      <c r="B39" s="17" t="s">
        <v>129</v>
      </c>
    </row>
    <row r="40" spans="1:5" x14ac:dyDescent="0.35">
      <c r="A40" s="18">
        <f>+A39+0.1</f>
        <v>5.0999999999999996</v>
      </c>
      <c r="B40" s="1" t="s">
        <v>130</v>
      </c>
      <c r="C40">
        <f>138.2/C41</f>
        <v>22.471544715447152</v>
      </c>
      <c r="D40">
        <f>146.92/D41</f>
        <v>25.911816578483243</v>
      </c>
      <c r="E40">
        <f>112.28/E41</f>
        <v>33.9214501510574</v>
      </c>
    </row>
    <row r="41" spans="1:5" x14ac:dyDescent="0.35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35">
      <c r="A42" s="18">
        <f t="shared" si="5"/>
        <v>5.2999999999999989</v>
      </c>
      <c r="B42" s="1" t="s">
        <v>132</v>
      </c>
      <c r="C42">
        <f>138.2/C43</f>
        <v>44.526132495263653</v>
      </c>
    </row>
    <row r="43" spans="1:5" x14ac:dyDescent="0.35">
      <c r="A43" s="18">
        <f t="shared" si="5"/>
        <v>5.3999999999999986</v>
      </c>
      <c r="B43" s="3" t="s">
        <v>133</v>
      </c>
      <c r="C43">
        <f>('Financial Statements'!B68*1000)/'Financial Statements'!B28</f>
        <v>3.1037952827971447</v>
      </c>
      <c r="D43">
        <f>('Financial Statements'!C68*1000)/'Financial Statements'!C28</f>
        <v>3.740901453484597</v>
      </c>
      <c r="E43">
        <f>('Financial Statements'!D68*1000)/'Financial Statements'!D28</f>
        <v>3.7276473233382479</v>
      </c>
    </row>
    <row r="44" spans="1:5" x14ac:dyDescent="0.35">
      <c r="A44" s="18">
        <f t="shared" si="5"/>
        <v>5.4999999999999982</v>
      </c>
      <c r="B44" s="1" t="s">
        <v>134</v>
      </c>
      <c r="C44" s="23">
        <f>'Financial Statements'!B102/'Financial Statements'!B22*-1</f>
        <v>0.14870294480125848</v>
      </c>
      <c r="D44" s="23">
        <f>'Financial Statements'!C102/'Financial Statements'!C22*-1</f>
        <v>0.15279890156316012</v>
      </c>
      <c r="E44" s="23">
        <f>'Financial Statements'!D102/'Financial Statements'!D22*-1</f>
        <v>0.24526658654264863</v>
      </c>
    </row>
    <row r="45" spans="1:5" x14ac:dyDescent="0.35">
      <c r="A45" s="18"/>
      <c r="B45" s="3" t="s">
        <v>135</v>
      </c>
      <c r="C45">
        <f>('Financial Statements'!B102*-1*1000000)/('Financial Statements'!B28*1000)</f>
        <v>0.90905087211857483</v>
      </c>
      <c r="D45">
        <f>('Financial Statements'!C102*-1*1000000)/('Financial Statements'!C28*1000)</f>
        <v>0.85781615672153544</v>
      </c>
      <c r="E45">
        <f>('Financial Statements'!D102*-1*1000000)/('Financial Statements'!D28*1000)</f>
        <v>0.80333341434558025</v>
      </c>
    </row>
    <row r="46" spans="1:5" x14ac:dyDescent="0.35">
      <c r="A46" s="18">
        <f>+A44+0.1</f>
        <v>5.5999999999999979</v>
      </c>
      <c r="B46" s="1" t="s">
        <v>136</v>
      </c>
      <c r="C46" s="23">
        <f>C45/138.2</f>
        <v>6.5777921282096589E-3</v>
      </c>
      <c r="D46" s="23">
        <f>D45/146.92</f>
        <v>5.8386615622211787E-3</v>
      </c>
      <c r="E46" s="23">
        <f>E45/112.28</f>
        <v>7.1547329385961899E-3</v>
      </c>
    </row>
    <row r="47" spans="1:5" x14ac:dyDescent="0.35">
      <c r="A47" s="18">
        <f t="shared" ref="A47:A50" si="6">+A45+0.1</f>
        <v>0.1</v>
      </c>
      <c r="B47" s="1" t="s">
        <v>137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5" x14ac:dyDescent="0.35">
      <c r="A48" s="18">
        <f t="shared" si="6"/>
        <v>5.6999999999999975</v>
      </c>
      <c r="B48" s="1" t="s">
        <v>138</v>
      </c>
      <c r="C48" s="23">
        <f>C21/C52</f>
        <v>0.60087134570590572</v>
      </c>
      <c r="D48" s="23">
        <f t="shared" ref="D48:E48" si="7">D21/D52</f>
        <v>0.48309913489209433</v>
      </c>
      <c r="E48" s="23">
        <f t="shared" si="7"/>
        <v>0.30338312829525482</v>
      </c>
    </row>
    <row r="49" spans="1:5" x14ac:dyDescent="0.35">
      <c r="A49" s="18">
        <f t="shared" si="6"/>
        <v>0.2</v>
      </c>
      <c r="B49" s="1" t="s">
        <v>128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5" x14ac:dyDescent="0.35">
      <c r="A50" s="18">
        <f t="shared" si="6"/>
        <v>5.7999999999999972</v>
      </c>
      <c r="B50" s="1" t="s">
        <v>139</v>
      </c>
      <c r="C50" s="25">
        <f>C51/C19</f>
        <v>17283675.032549158</v>
      </c>
      <c r="D50" s="25">
        <f t="shared" ref="D50:E50" si="8">D51/D19</f>
        <v>19385125.828998689</v>
      </c>
      <c r="E50" s="25">
        <f t="shared" si="8"/>
        <v>31319807.613350738</v>
      </c>
    </row>
    <row r="51" spans="1:5" x14ac:dyDescent="0.35">
      <c r="A51" s="18"/>
      <c r="B51" s="3" t="s">
        <v>140</v>
      </c>
      <c r="C51">
        <f>C53+'Financial Statements'!B60+'Financial Statements'!B55-'Financial Statements'!B36</f>
        <v>2256228222423.9995</v>
      </c>
      <c r="D51">
        <f>D53+'Financial Statements'!C60+'Financial Statements'!C55-'Financial Statements'!C36</f>
        <v>2330731833797.9995</v>
      </c>
      <c r="E51" s="12">
        <f>E53+'Financial Statements'!D60+'Financial Statements'!D55-'Financial Statements'!D36</f>
        <v>2422399200046.9995</v>
      </c>
    </row>
    <row r="52" spans="1:5" x14ac:dyDescent="0.35">
      <c r="B52" s="1" t="s">
        <v>151</v>
      </c>
      <c r="C52">
        <f>'Financial Statements'!B48-'Financial Statements'!B56</f>
        <v>198773</v>
      </c>
      <c r="D52">
        <f>'Financial Statements'!C48-'Financial Statements'!C56</f>
        <v>225521</v>
      </c>
      <c r="E52">
        <f>'Financial Statements'!D48-'Financial Statements'!D56</f>
        <v>218496</v>
      </c>
    </row>
    <row r="53" spans="1:5" x14ac:dyDescent="0.35">
      <c r="B53" s="1" t="s">
        <v>152</v>
      </c>
      <c r="C53" s="12">
        <f>138.2*'Financial Statements'!B28*1000</f>
        <v>2256228185799.9995</v>
      </c>
      <c r="D53" s="12">
        <f>138.2*'Financial Statements'!C28*1000</f>
        <v>2330731805799.9995</v>
      </c>
      <c r="E53" s="12">
        <f>138.2*'Financial Statements'!D28*1000</f>
        <v>2422399174799.9995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Leonardo Zonouzi</cp:lastModifiedBy>
  <dcterms:created xsi:type="dcterms:W3CDTF">2020-05-18T16:32:37Z</dcterms:created>
  <dcterms:modified xsi:type="dcterms:W3CDTF">2023-10-16T14:57:31Z</dcterms:modified>
</cp:coreProperties>
</file>