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zono\Downloads\"/>
    </mc:Choice>
  </mc:AlternateContent>
  <xr:revisionPtr revIDLastSave="0" documentId="13_ncr:1_{F4C97A6D-CB80-4BAC-8D4B-8740464A4A6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F95" i="3"/>
  <c r="G95" i="3"/>
  <c r="E95" i="3"/>
  <c r="F96" i="3"/>
  <c r="G96" i="3"/>
  <c r="E96" i="3"/>
  <c r="F94" i="3"/>
  <c r="G94" i="3"/>
  <c r="E94" i="3"/>
  <c r="F93" i="3"/>
  <c r="G93" i="3"/>
  <c r="E93" i="3"/>
  <c r="F89" i="3"/>
  <c r="G89" i="3"/>
  <c r="E89" i="3"/>
  <c r="F88" i="3"/>
  <c r="G88" i="3"/>
  <c r="E88" i="3"/>
  <c r="F87" i="3"/>
  <c r="G87" i="3"/>
  <c r="E87" i="3"/>
  <c r="F86" i="3"/>
  <c r="G86" i="3"/>
  <c r="E86" i="3"/>
  <c r="G84" i="3"/>
  <c r="F84" i="3"/>
  <c r="E84" i="3"/>
  <c r="F83" i="3"/>
  <c r="G83" i="3"/>
  <c r="E83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68" i="3"/>
  <c r="E68" i="3"/>
  <c r="F67" i="3"/>
  <c r="E67" i="3"/>
  <c r="F66" i="3"/>
  <c r="E66" i="3"/>
  <c r="F63" i="3"/>
  <c r="E63" i="3"/>
  <c r="F59" i="3"/>
  <c r="E59" i="3"/>
  <c r="F61" i="3"/>
  <c r="E61" i="3"/>
  <c r="F60" i="3"/>
  <c r="E60" i="3"/>
  <c r="E42" i="3"/>
  <c r="D42" i="3"/>
  <c r="C48" i="3"/>
  <c r="D52" i="3"/>
  <c r="E52" i="3"/>
  <c r="C52" i="3"/>
  <c r="D53" i="3"/>
  <c r="E53" i="3"/>
  <c r="C53" i="3"/>
  <c r="D45" i="3"/>
  <c r="E45" i="3"/>
  <c r="D27" i="3"/>
  <c r="E27" i="3"/>
  <c r="C27" i="3"/>
  <c r="D26" i="3"/>
  <c r="E26" i="3"/>
  <c r="C26" i="3"/>
  <c r="D25" i="3"/>
  <c r="E25" i="3"/>
  <c r="C25" i="3"/>
  <c r="E46" i="3" l="1"/>
  <c r="D46" i="3"/>
  <c r="C51" i="3"/>
  <c r="C50" i="3" s="1"/>
  <c r="C46" i="3"/>
  <c r="D43" i="3"/>
  <c r="E43" i="3"/>
  <c r="C43" i="3"/>
  <c r="C42" i="3" s="1"/>
  <c r="D31" i="3"/>
  <c r="E31" i="3"/>
  <c r="C31" i="3"/>
  <c r="D30" i="3"/>
  <c r="E30" i="3"/>
  <c r="C30" i="3"/>
  <c r="C32" i="3"/>
  <c r="D32" i="3"/>
  <c r="E32" i="3"/>
  <c r="D29" i="3"/>
  <c r="E29" i="3"/>
  <c r="C29" i="3"/>
  <c r="E51" i="3"/>
  <c r="E50" i="3" s="1"/>
  <c r="D11" i="3"/>
  <c r="D12" i="3" s="1"/>
  <c r="E11" i="3"/>
  <c r="E12" i="3" s="1"/>
  <c r="C11" i="3"/>
  <c r="C12" i="3" s="1"/>
  <c r="D50" i="3"/>
  <c r="D51" i="3"/>
  <c r="D49" i="3"/>
  <c r="E49" i="3"/>
  <c r="C49" i="3"/>
  <c r="D48" i="3"/>
  <c r="E48" i="3"/>
  <c r="D47" i="3"/>
  <c r="E47" i="3"/>
  <c r="C47" i="3"/>
  <c r="D44" i="3"/>
  <c r="E44" i="3"/>
  <c r="C44" i="3"/>
  <c r="E40" i="3"/>
  <c r="D40" i="3"/>
  <c r="C40" i="3"/>
  <c r="D41" i="3"/>
  <c r="E41" i="3"/>
  <c r="C41" i="3"/>
  <c r="D37" i="3"/>
  <c r="E37" i="3"/>
  <c r="C37" i="3"/>
  <c r="D36" i="3"/>
  <c r="E36" i="3"/>
  <c r="C36" i="3"/>
  <c r="C34" i="3"/>
  <c r="D35" i="3"/>
  <c r="E35" i="3"/>
  <c r="C35" i="3"/>
  <c r="D34" i="3"/>
  <c r="E34" i="3"/>
  <c r="D28" i="3"/>
  <c r="E28" i="3"/>
  <c r="C28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E13" i="3"/>
  <c r="D13" i="3"/>
  <c r="C13" i="3"/>
  <c r="D14" i="3"/>
  <c r="E14" i="3"/>
  <c r="C14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<sst xmlns="http://schemas.openxmlformats.org/spreadsheetml/2006/main" count="210" uniqueCount="163">
  <si>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</si>
  <si>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</si>
  <si>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</si>
  <si>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</si>
  <si>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</si>
  <si>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</si>
  <si>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</si>
  <si>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</si>
  <si>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</si>
  <si>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</si>
  <si>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</si>
  <si>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</si>
  <si>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</si>
  <si>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</si>
  <si>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</si>
  <si>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</si>
  <si>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</si>
  <si>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</si>
  <si>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</si>
  <si>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</si>
  <si>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</si>
  <si>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</si>
  <si>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</si>
  <si>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</si>
  <si>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</si>
  <si>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</si>
  <si>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</si>
  <si>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</si>
  <si>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</si>
  <si>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</si>
  <si>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</si>
  <si>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</si>
  <si>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</si>
  <si>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</si>
  <si>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</si>
  <si>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</si>
  <si>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</si>
  <si>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</si>
  <si>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</si>
  <si>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</si>
  <si>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</si>
  <si>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</si>
  <si>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</si>
  <si>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</si>
  <si>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</si>
  <si>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</si>
  <si>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</si>
  <si>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</si>
  <si>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</si>
  <si>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</si>
  <si>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</si>
  <si>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</si>
  <si>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</si>
  <si>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</si>
  <si>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</si>
  <si>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</si>
  <si>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</si>
  <si>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</si>
  <si>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</si>
  <si>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</si>
  <si>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</si>
  <si>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</si>
  <si>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</si>
  <si>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</si>
  <si>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</si>
  <si>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</si>
  <si>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</si>
  <si>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</si>
  <si>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</si>
  <si>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</si>
  <si>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</si>
  <si>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</si>
  <si>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</si>
  <si>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</si>
  <si>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</si>
  <si>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</si>
  <si>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</si>
  <si>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</si>
  <si>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</si>
  <si>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</si>
  <si>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</si>
  <si>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</si>
  <si>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</si>
  <si>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</si>
  <si>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</si>
  <si>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</si>
  <si>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</si>
  <si>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</si>
  <si>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</si>
  <si>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</si>
  <si>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</si>
  <si>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</si>
  <si>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</si>
  <si>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</si>
  <si>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</si>
  <si>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</si>
  <si>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</si>
  <si>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</si>
  <si>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</si>
  <si>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</si>
  <si>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</si>
  <si>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</si>
  <si>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</si>
  <si>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</si>
  <si>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</si>
  <si>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</si>
  <si>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</si>
  <si>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</si>
  <si>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</si>
  <si>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</si>
  <si>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</si>
  <si>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</si>
  <si>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</si>
  <si>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</si>
  <si>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</si>
  <si>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</si>
  <si>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</si>
  <si>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</si>
  <si>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</si>
  <si>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</si>
  <si>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</si>
  <si>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</si>
  <si>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</si>
  <si>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</si>
  <si>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</si>
  <si>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</si>
  <si>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</si>
  <si>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</si>
  <si>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</si>
  <si>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</si>
  <si>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</si>
  <si>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</si>
  <si>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</si>
  <si>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</si>
  <si>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</si>
  <si>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</si>
  <si>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</si>
  <si>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</si>
  <si>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</si>
  <si>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</si>
  <si>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</si>
  <si>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</si>
  <si>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</si>
  <si>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</si>
  <si>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</si>
  <si>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</si>
  <si>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</si>
  <si>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</si>
  <si>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</si>
  <si>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</si>
  <si>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FCF</t>
  </si>
  <si>
    <t>Capital Employed</t>
  </si>
  <si>
    <t xml:space="preserve">Equity value </t>
  </si>
  <si>
    <t>Feedback</t>
  </si>
  <si>
    <t xml:space="preserve"> Please calcualte the following</t>
  </si>
  <si>
    <t>Growth Rates (%)</t>
  </si>
  <si>
    <t>Sales</t>
  </si>
  <si>
    <t>Gross Profits</t>
  </si>
  <si>
    <t>Operating Expenses</t>
  </si>
  <si>
    <t>Balance Sheet Main Line Items</t>
  </si>
  <si>
    <t>Margins/ as a percentage of net sales (%)</t>
  </si>
  <si>
    <t>Other Calculations (%)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</si>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</sst>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4" fontId="0" fillId="0" borderId="0" xfId="1" applyFont="1"/>
    <xf numFmtId="43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8" fillId="2" borderId="0" xfId="0" applyFont="1" applyFill="1" applyAlignment="1">
      <alignment horizontal="center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0" borderId="0" xfId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5" workbookViewId="0">
      <selection activeCell="A27" sqref="A27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5" workbookViewId="0">
      <selection activeCell="B1" sqref="B1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1" t="s">
        <v>1</v>
      </c>
      <c r="B2" s="31"/>
      <c r="C2" s="31"/>
      <c r="D2" s="31"/>
    </row>
    <row r="3" spans="1:10" x14ac:dyDescent="0.35">
      <c r="B3" s="30" t="s">
        <v>23</v>
      </c>
      <c r="C3" s="30"/>
      <c r="D3" s="30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31" t="s">
        <v>24</v>
      </c>
      <c r="B31" s="31"/>
      <c r="C31" s="31"/>
      <c r="D31" s="31"/>
    </row>
    <row r="32" spans="1:4" x14ac:dyDescent="0.35">
      <c r="B32" s="30" t="s">
        <v>142</v>
      </c>
      <c r="C32" s="30"/>
      <c r="D32" s="30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31" t="s">
        <v>55</v>
      </c>
      <c r="B71" s="31"/>
      <c r="C71" s="31"/>
      <c r="D71" s="31"/>
    </row>
    <row r="72" spans="1:4" x14ac:dyDescent="0.35">
      <c r="B72" s="30" t="s">
        <v>23</v>
      </c>
      <c r="C72" s="30"/>
      <c r="D72" s="30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6"/>
  <sheetViews>
    <sheetView tabSelected="1" topLeftCell="A81" workbookViewId="0">
      <selection activeCell="D56" sqref="C56:H97"/>
    </sheetView>
  </sheetViews>
  <sheetFormatPr defaultRowHeight="14.5" x14ac:dyDescent="0.35"/>
  <cols>
    <col min="1" max="1" width="4.6328125" customWidth="1"/>
    <col min="2" max="2" width="44.90625" customWidth="1"/>
    <col min="3" max="5" width="17.08984375" bestFit="1" customWidth="1"/>
    <col min="6" max="6" width="26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28" t="s">
        <v>153</v>
      </c>
      <c r="G1" s="19"/>
      <c r="H1" s="19"/>
      <c r="I1" s="19"/>
      <c r="J1" s="19"/>
    </row>
    <row r="2" spans="1:10" x14ac:dyDescent="0.35">
      <c r="C2" s="30" t="s">
        <v>23</v>
      </c>
      <c r="D2" s="30"/>
      <c r="E2" s="30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</row>
    <row r="7" spans="1:10" x14ac:dyDescent="0.35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 s="24">
        <f>(('Financial Statements'!B42)/(('Financial Statements'!B17-'Financial Statements'!B79)/365))</f>
        <v>1228.1708953554833</v>
      </c>
      <c r="D8" s="24">
        <f>(('Financial Statements'!C42)/(('Financial Statements'!C17-'Financial Statements'!C79)/365))</f>
        <v>1509.5279575499187</v>
      </c>
      <c r="E8" s="24">
        <f>(('Financial Statements'!D42)/(('Financial Statements'!D17-'Financial Statements'!D79)/365))</f>
        <v>1899.7263870780819</v>
      </c>
    </row>
    <row r="9" spans="1:10" x14ac:dyDescent="0.35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</row>
    <row r="10" spans="1:10" x14ac:dyDescent="0.35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 s="24">
        <f>C11+C9-C10</f>
        <v>-70.521753872831582</v>
      </c>
      <c r="D12" s="24">
        <f t="shared" ref="D12:E12" si="1">D11+D9-D10</f>
        <v>-56.355166632892498</v>
      </c>
      <c r="E12" s="24">
        <f t="shared" si="1"/>
        <v>-60.872869206641568</v>
      </c>
    </row>
    <row r="13" spans="1:10" x14ac:dyDescent="0.35">
      <c r="A13" s="18">
        <f t="shared" si="0"/>
        <v>1.9000000000000008</v>
      </c>
      <c r="B13" s="1" t="s">
        <v>108</v>
      </c>
      <c r="C13" s="23">
        <f>('List of Ratios'!C14/'Financial Statements'!B8)</f>
        <v>-4.711052727678481E-2</v>
      </c>
      <c r="D13" s="23">
        <f>('List of Ratios'!D14/'Financial Statements'!C8)</f>
        <v>2.557289573748623E-2</v>
      </c>
      <c r="E13" s="23">
        <f>('List of Ratios'!E14/'Financial Statements'!D8)</f>
        <v>0.13959528623208203</v>
      </c>
    </row>
    <row r="14" spans="1:10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3">
        <f>('Financial Statements'!B8-'Financial Statements'!B12)/'Financial Statements'!B8</f>
        <v>0.43309630561360085</v>
      </c>
      <c r="D17" s="23">
        <f>('Financial Statements'!C8-'Financial Statements'!C12)/'Financial Statements'!C8</f>
        <v>0.41779359625167778</v>
      </c>
      <c r="E17" s="23">
        <f>('Financial Statements'!D8-'Financial Statements'!D12)/'Financial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5" x14ac:dyDescent="0.35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</row>
    <row r="20" spans="1:5" x14ac:dyDescent="0.35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5" x14ac:dyDescent="0.35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5" x14ac:dyDescent="0.35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 s="24">
        <f>('Financial Statements'!B59)/'Financial Statements'!B68</f>
        <v>1.9529325860435744</v>
      </c>
      <c r="D25" s="24">
        <f>('Financial Statements'!C59)/'Financial Statements'!C68</f>
        <v>1.729370740212395</v>
      </c>
      <c r="E25" s="24">
        <f>('Financial Statements'!D59)/'Financial Statements'!D68</f>
        <v>1.5100782075024104</v>
      </c>
    </row>
    <row r="26" spans="1:5" x14ac:dyDescent="0.35">
      <c r="A26" s="18">
        <f t="shared" ref="A26:A30" si="2">+A25+0.1</f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</row>
    <row r="27" spans="1:5" x14ac:dyDescent="0.35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</row>
    <row r="28" spans="1:5" x14ac:dyDescent="0.35">
      <c r="A28" s="18">
        <f t="shared" si="2"/>
        <v>3.4000000000000004</v>
      </c>
      <c r="B28" s="1" t="s">
        <v>120</v>
      </c>
      <c r="C28" s="24">
        <f>C21/'Financial Statements'!B114</f>
        <v>41.68830715532286</v>
      </c>
      <c r="D28" s="24">
        <f>D21/'Financial Statements'!C114</f>
        <v>40.546706363974693</v>
      </c>
      <c r="E28" s="24">
        <f>E21/'Financial Statements'!D114</f>
        <v>22.081279147235175</v>
      </c>
    </row>
    <row r="29" spans="1:5" x14ac:dyDescent="0.35">
      <c r="A29" s="18">
        <f t="shared" si="2"/>
        <v>3.5000000000000004</v>
      </c>
      <c r="B29" s="1" t="s">
        <v>121</v>
      </c>
      <c r="C29" s="24">
        <f>C21/('Financial Statements'!B105*-1+'Financial Statements'!B114)</f>
        <v>9.6258059316569948</v>
      </c>
      <c r="D29" s="24">
        <f>D21/('Financial Statements'!C105*-1+'Financial Statements'!C114)</f>
        <v>9.5260120661012504</v>
      </c>
      <c r="E29" s="24">
        <f>E21/('Financial Statements'!D105*-1+'Financial Statements'!D114)</f>
        <v>4.2408035314439259</v>
      </c>
    </row>
    <row r="30" spans="1:5" x14ac:dyDescent="0.35">
      <c r="A30" s="18">
        <f t="shared" si="2"/>
        <v>3.6000000000000005</v>
      </c>
      <c r="B30" s="1" t="s">
        <v>122</v>
      </c>
      <c r="C30" s="24">
        <f>('List of Ratios'!C32*1000000)/('Financial Statements'!B27*1000)</f>
        <v>7.2094392420604319</v>
      </c>
      <c r="D30" s="24">
        <f>('List of Ratios'!D32*1000000)/('Financial Statements'!C27*1000)</f>
        <v>6.7866687040364351</v>
      </c>
      <c r="E30" s="24">
        <f>('List of Ratios'!E32*1000000)/('Financial Statements'!D27*1000)</f>
        <v>5.1553357834855786</v>
      </c>
    </row>
    <row r="31" spans="1:5" x14ac:dyDescent="0.35">
      <c r="A31" s="18"/>
      <c r="B31" s="3" t="s">
        <v>123</v>
      </c>
      <c r="C31" s="24">
        <f>C30</f>
        <v>7.2094392420604319</v>
      </c>
      <c r="D31" s="24">
        <f t="shared" ref="D31:E31" si="3">D30</f>
        <v>6.7866687040364351</v>
      </c>
      <c r="E31" s="24">
        <f t="shared" si="3"/>
        <v>5.1553357834855786</v>
      </c>
    </row>
    <row r="32" spans="1:5" x14ac:dyDescent="0.35">
      <c r="A32" s="18"/>
      <c r="B32" s="1" t="s">
        <v>150</v>
      </c>
      <c r="C32" s="24">
        <f>'Financial Statements'!B91+'Financial Statements'!B96+'Financial Statements'!B104</f>
        <v>116908</v>
      </c>
      <c r="D32" s="24">
        <f>'Financial Statements'!C91+'Financial Statements'!C96+'Financial Statements'!C104</f>
        <v>113346</v>
      </c>
      <c r="E32" s="24">
        <f>'Financial Statements'!D91+'Financial Statements'!D96+'Financial Statements'!D104</f>
        <v>89456</v>
      </c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35">
      <c r="A35" s="18">
        <f t="shared" ref="A35:A37" si="4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5" x14ac:dyDescent="0.35">
      <c r="A36" s="18">
        <f t="shared" si="4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5" x14ac:dyDescent="0.35">
      <c r="A37" s="18">
        <f t="shared" si="4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f>138.2/C41</f>
        <v>22.471544715447152</v>
      </c>
      <c r="D40">
        <f>146.92/D41</f>
        <v>25.911816578483243</v>
      </c>
      <c r="E40">
        <f>112.28/E41</f>
        <v>33.9214501510574</v>
      </c>
    </row>
    <row r="41" spans="1:5" x14ac:dyDescent="0.35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35">
      <c r="A42" s="18">
        <f t="shared" si="5"/>
        <v>5.2999999999999989</v>
      </c>
      <c r="B42" s="1" t="s">
        <v>132</v>
      </c>
      <c r="C42">
        <f>138.2/C43</f>
        <v>44.526132495263653</v>
      </c>
      <c r="D42">
        <f>146.92/D43</f>
        <v>39.273956244729753</v>
      </c>
      <c r="E42">
        <f>112.28/E43</f>
        <v>30.120875249391634</v>
      </c>
    </row>
    <row r="43" spans="1:5" x14ac:dyDescent="0.35">
      <c r="A43" s="18">
        <f t="shared" si="5"/>
        <v>5.3999999999999986</v>
      </c>
      <c r="B43" s="3" t="s">
        <v>133</v>
      </c>
      <c r="C43">
        <f>('Financial Statements'!B68*1000)/'Financial Statements'!B28</f>
        <v>3.1037952827971447</v>
      </c>
      <c r="D43">
        <f>('Financial Statements'!C68*1000)/'Financial Statements'!C28</f>
        <v>3.740901453484597</v>
      </c>
      <c r="E43">
        <f>('Financial Statements'!D68*1000)/'Financial Statements'!D28</f>
        <v>3.7276473233382479</v>
      </c>
    </row>
    <row r="44" spans="1:5" x14ac:dyDescent="0.35">
      <c r="A44" s="18">
        <f t="shared" si="5"/>
        <v>5.4999999999999982</v>
      </c>
      <c r="B44" s="1" t="s">
        <v>134</v>
      </c>
      <c r="C44" s="23">
        <f>'Financial Statements'!B102/'Financial Statements'!B22*-1</f>
        <v>0.14870294480125848</v>
      </c>
      <c r="D44" s="23">
        <f>'Financial Statements'!C102/'Financial Statements'!C22*-1</f>
        <v>0.15279890156316012</v>
      </c>
      <c r="E44" s="23">
        <f>'Financial Statements'!D102/'Financial Statements'!D22*-1</f>
        <v>0.24526658654264863</v>
      </c>
    </row>
    <row r="45" spans="1:5" x14ac:dyDescent="0.35">
      <c r="A45" s="18"/>
      <c r="B45" s="3" t="s">
        <v>135</v>
      </c>
      <c r="C45">
        <f>('Financial Statements'!B102*-1)/('Financial Statements'!B28/1000)</f>
        <v>0.90905087211857494</v>
      </c>
      <c r="D45">
        <f>('Financial Statements'!C102*-1)/('Financial Statements'!C28/1000)</f>
        <v>0.85781615672153533</v>
      </c>
      <c r="E45">
        <f>('Financial Statements'!D102*-1)/('Financial Statements'!D28/1000)</f>
        <v>0.80333341434558025</v>
      </c>
    </row>
    <row r="46" spans="1:5" x14ac:dyDescent="0.35">
      <c r="A46" s="18">
        <f>+A44+0.1</f>
        <v>5.5999999999999979</v>
      </c>
      <c r="B46" s="1" t="s">
        <v>136</v>
      </c>
      <c r="C46" s="23">
        <f>C45/138.2</f>
        <v>6.5777921282096597E-3</v>
      </c>
      <c r="D46" s="23">
        <f>D45/146.92</f>
        <v>5.8386615622211778E-3</v>
      </c>
      <c r="E46" s="23">
        <f>E45/112.28</f>
        <v>7.1547329385961899E-3</v>
      </c>
    </row>
    <row r="47" spans="1:5" x14ac:dyDescent="0.35">
      <c r="A47" s="18">
        <f t="shared" ref="A47:A50" si="6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5" x14ac:dyDescent="0.35">
      <c r="A48" s="18">
        <f t="shared" si="6"/>
        <v>5.6999999999999975</v>
      </c>
      <c r="B48" s="1" t="s">
        <v>138</v>
      </c>
      <c r="C48" s="23">
        <f>C21/C52</f>
        <v>0.79821026391589978</v>
      </c>
      <c r="D48" s="23">
        <f t="shared" ref="D48:E48" si="7">D21/D52</f>
        <v>0.63270343097400639</v>
      </c>
      <c r="E48" s="23">
        <f t="shared" si="7"/>
        <v>0.40418033486579757</v>
      </c>
    </row>
    <row r="49" spans="1:8" x14ac:dyDescent="0.35">
      <c r="A49" s="18">
        <f t="shared" si="6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8" x14ac:dyDescent="0.35">
      <c r="A50" s="18">
        <f t="shared" si="6"/>
        <v>5.7999999999999972</v>
      </c>
      <c r="B50" s="1" t="s">
        <v>139</v>
      </c>
      <c r="C50" s="25">
        <f>C51/C19</f>
        <v>17.56423028627021</v>
      </c>
      <c r="D50" s="25">
        <f t="shared" ref="D50:E50" si="8">D51/D19</f>
        <v>19.617990117521813</v>
      </c>
      <c r="E50" s="25">
        <f t="shared" si="8"/>
        <v>31.64623209040132</v>
      </c>
    </row>
    <row r="51" spans="1:8" x14ac:dyDescent="0.35">
      <c r="A51" s="18"/>
      <c r="B51" s="3" t="s">
        <v>140</v>
      </c>
      <c r="C51">
        <f>C53+'Financial Statements'!B60+'Financial Statements'!B55-'Financial Statements'!B36</f>
        <v>2292852.1857999996</v>
      </c>
      <c r="D51">
        <f>D53+'Financial Statements'!C60+'Financial Statements'!C55-'Financial Statements'!C36</f>
        <v>2358729.8058000002</v>
      </c>
      <c r="E51" s="12">
        <f>E53+'Financial Statements'!D60+'Financial Statements'!D55-'Financial Statements'!D36</f>
        <v>2447646.1747999997</v>
      </c>
    </row>
    <row r="52" spans="1:8" x14ac:dyDescent="0.35">
      <c r="B52" s="1" t="s">
        <v>151</v>
      </c>
      <c r="C52">
        <f>'Financial Statements'!B59+'Financial Statements'!B68</f>
        <v>149631</v>
      </c>
      <c r="D52">
        <f>'Financial Statements'!C59+'Financial Statements'!C68</f>
        <v>172196</v>
      </c>
      <c r="E52">
        <f>'Financial Statements'!D59+'Financial Statements'!D68</f>
        <v>164006</v>
      </c>
    </row>
    <row r="53" spans="1:8" x14ac:dyDescent="0.35">
      <c r="B53" s="1" t="s">
        <v>152</v>
      </c>
      <c r="C53" s="12">
        <f>138.2*('Financial Statements'!B28/1000)</f>
        <v>2256228.1857999996</v>
      </c>
      <c r="D53" s="12">
        <f>138.2*('Financial Statements'!C28/1000)</f>
        <v>2330731.8058000002</v>
      </c>
      <c r="E53" s="12">
        <f>138.2*('Financial Statements'!D28/1000)</f>
        <v>2422399.1747999997</v>
      </c>
    </row>
    <row r="56" spans="1:8" x14ac:dyDescent="0.35">
      <c r="D56" s="32" t="s">
        <v>154</v>
      </c>
      <c r="E56" s="32"/>
      <c r="F56" s="32"/>
      <c r="G56" s="32"/>
    </row>
    <row r="57" spans="1:8" x14ac:dyDescent="0.35">
      <c r="C57" s="30" t="s">
        <v>155</v>
      </c>
      <c r="D57" s="30"/>
      <c r="E57" s="30"/>
      <c r="F57" s="30"/>
      <c r="G57" s="30"/>
      <c r="H57" s="30"/>
    </row>
    <row r="58" spans="1:8" x14ac:dyDescent="0.35">
      <c r="C58" s="18">
        <v>1</v>
      </c>
      <c r="D58" s="7" t="s">
        <v>156</v>
      </c>
      <c r="E58">
        <v>2022</v>
      </c>
      <c r="F58">
        <v>2021</v>
      </c>
    </row>
    <row r="59" spans="1:8" x14ac:dyDescent="0.35">
      <c r="C59">
        <v>1.1000000000000001</v>
      </c>
      <c r="D59" s="26" t="s">
        <v>4</v>
      </c>
      <c r="E59" s="23">
        <f>('Financial Statements'!B6/'Financial Statements'!C6)-1</f>
        <v>6.3239764351428418E-2</v>
      </c>
      <c r="F59" s="23">
        <f>('Financial Statements'!C6/'Financial Statements'!D6)-1</f>
        <v>0.34720743656765429</v>
      </c>
      <c r="H59" s="24"/>
    </row>
    <row r="60" spans="1:8" x14ac:dyDescent="0.35">
      <c r="C60">
        <v>1.2</v>
      </c>
      <c r="D60" s="26" t="s">
        <v>5</v>
      </c>
      <c r="E60" s="23">
        <f>('Financial Statements'!B7/'Financial Statements'!C7)-1</f>
        <v>0.14181951041286078</v>
      </c>
      <c r="F60" s="23">
        <f>('Financial Statements'!C7/'Financial Statements'!D7)-1</f>
        <v>0.27259708376729663</v>
      </c>
      <c r="G60" s="24"/>
      <c r="H60" s="24"/>
    </row>
    <row r="61" spans="1:8" x14ac:dyDescent="0.35">
      <c r="C61">
        <v>1.3</v>
      </c>
      <c r="D61" s="26" t="s">
        <v>6</v>
      </c>
      <c r="E61" s="23">
        <f>('Financial Statements'!B8/'Financial Statements'!C8)-1</f>
        <v>7.7937876041846099E-2</v>
      </c>
      <c r="F61" s="23">
        <f>('Financial Statements'!C8/'Financial Statements'!D8)-1</f>
        <v>0.33259384733074704</v>
      </c>
      <c r="G61" s="24"/>
      <c r="H61" s="24"/>
    </row>
    <row r="62" spans="1:8" x14ac:dyDescent="0.35">
      <c r="G62" s="24"/>
      <c r="H62" s="24"/>
    </row>
    <row r="63" spans="1:8" x14ac:dyDescent="0.35">
      <c r="C63" s="18">
        <v>2</v>
      </c>
      <c r="D63" s="17" t="s">
        <v>157</v>
      </c>
      <c r="E63" s="23">
        <f>('Financial Statements'!B8-'Financial Statements'!B12)/'Financial Statements'!B8</f>
        <v>0.43309630561360085</v>
      </c>
      <c r="F63" s="23">
        <f>('Financial Statements'!C8-'Financial Statements'!C12)/'Financial Statements'!C8</f>
        <v>0.41779359625167778</v>
      </c>
      <c r="G63" s="23"/>
      <c r="H63" s="24"/>
    </row>
    <row r="64" spans="1:8" x14ac:dyDescent="0.35">
      <c r="C64" s="18"/>
      <c r="G64" s="24"/>
      <c r="H64" s="24"/>
    </row>
    <row r="65" spans="3:8" x14ac:dyDescent="0.35">
      <c r="C65" s="18">
        <v>3</v>
      </c>
      <c r="D65" s="17" t="s">
        <v>158</v>
      </c>
      <c r="G65" s="24"/>
      <c r="H65" s="24"/>
    </row>
    <row r="66" spans="3:8" x14ac:dyDescent="0.35">
      <c r="C66" s="18">
        <v>3.1</v>
      </c>
      <c r="D66" s="26" t="s">
        <v>11</v>
      </c>
      <c r="E66" s="23">
        <f>('Financial Statements'!B15/'Financial Statements'!C15)-1</f>
        <v>0.19791001186456136</v>
      </c>
      <c r="F66" s="23">
        <f>('Financial Statements'!C15/'Financial Statements'!D15)-1</f>
        <v>0.16862201365187723</v>
      </c>
      <c r="H66" s="24"/>
    </row>
    <row r="67" spans="3:8" x14ac:dyDescent="0.35">
      <c r="C67" s="18">
        <v>3.2</v>
      </c>
      <c r="D67" s="26" t="s">
        <v>12</v>
      </c>
      <c r="E67" s="23">
        <f>('Financial Statements'!B16/'Financial Statements'!C16)-1</f>
        <v>0.14203795567287125</v>
      </c>
      <c r="F67" s="23">
        <f>('Financial Statements'!C16/'Financial Statements'!D16)-1</f>
        <v>0.10328379192608961</v>
      </c>
      <c r="H67" s="24"/>
    </row>
    <row r="68" spans="3:8" x14ac:dyDescent="0.35">
      <c r="C68" s="18">
        <v>3.3</v>
      </c>
      <c r="D68" s="26" t="s">
        <v>13</v>
      </c>
      <c r="E68" s="23">
        <f>('Financial Statements'!B17/'Financial Statements'!C17)-1</f>
        <v>0.16993642764372141</v>
      </c>
      <c r="F68" s="23">
        <f>('Financial Statements'!C17/'Financial Statements'!D17)-1</f>
        <v>0.13496948381090301</v>
      </c>
      <c r="H68" s="24"/>
    </row>
    <row r="69" spans="3:8" x14ac:dyDescent="0.35">
      <c r="C69" s="18"/>
      <c r="D69" s="26"/>
    </row>
    <row r="70" spans="3:8" x14ac:dyDescent="0.35">
      <c r="C70" s="18">
        <v>4</v>
      </c>
      <c r="D70" s="17" t="s">
        <v>159</v>
      </c>
    </row>
    <row r="71" spans="3:8" x14ac:dyDescent="0.35">
      <c r="C71" s="18">
        <v>4.0999999999999996</v>
      </c>
      <c r="D71" s="26" t="s">
        <v>31</v>
      </c>
      <c r="E71" s="23">
        <f>('Financial Statements'!B42/'Financial Statements'!C42)-1</f>
        <v>4.2199412619774446E-3</v>
      </c>
      <c r="F71" s="23">
        <f>('Financial Statements'!C42/'Financial Statements'!D42)-1</f>
        <v>-6.1768942266879123E-2</v>
      </c>
      <c r="H71" s="24"/>
    </row>
    <row r="72" spans="3:8" x14ac:dyDescent="0.35">
      <c r="C72" s="18">
        <v>4.2</v>
      </c>
      <c r="D72" s="26" t="s">
        <v>50</v>
      </c>
      <c r="E72" s="23">
        <f>('Financial Statements'!B47/'Financial Statements'!C47)-1</f>
        <v>5.477272096444441E-3</v>
      </c>
      <c r="F72" s="23">
        <f>('Financial Statements'!C47/'Financial Statements'!D47)-1</f>
        <v>0.19975579297904811</v>
      </c>
      <c r="H72" s="24"/>
    </row>
    <row r="73" spans="3:8" x14ac:dyDescent="0.35">
      <c r="C73" s="18">
        <v>4.3</v>
      </c>
      <c r="D73" s="26" t="s">
        <v>33</v>
      </c>
      <c r="E73" s="23">
        <f>('Financial Statements'!B48/'Financial Statements'!C48)-1</f>
        <v>4.994273536902849E-3</v>
      </c>
      <c r="F73" s="23">
        <f>('Financial Statements'!C48/'Financial Statements'!D48)-1</f>
        <v>8.3714123400681739E-2</v>
      </c>
      <c r="H73" s="24"/>
    </row>
    <row r="74" spans="3:8" x14ac:dyDescent="0.35">
      <c r="C74" s="18">
        <v>4.4000000000000004</v>
      </c>
      <c r="D74" s="26" t="s">
        <v>40</v>
      </c>
      <c r="E74" s="23">
        <f>('Financial Statements'!B56/'Financial Statements'!C56)-1</f>
        <v>0.22713398841258825</v>
      </c>
      <c r="F74" s="23">
        <f>('Financial Statements'!C56/'Financial Statements'!D56)-1</f>
        <v>0.19061219067860935</v>
      </c>
      <c r="H74" s="24"/>
    </row>
    <row r="75" spans="3:8" x14ac:dyDescent="0.35">
      <c r="C75" s="18">
        <v>4.5</v>
      </c>
      <c r="D75" s="26" t="s">
        <v>53</v>
      </c>
      <c r="E75" s="23">
        <f>('Financial Statements'!B61/'Financial Statements'!C61)-1</f>
        <v>-8.8222075835277747E-2</v>
      </c>
      <c r="F75" s="23">
        <f>('Financial Statements'!C61/'Financial Statements'!D61)-1</f>
        <v>6.0552243775994663E-2</v>
      </c>
      <c r="H75" s="24"/>
    </row>
    <row r="76" spans="3:8" x14ac:dyDescent="0.35">
      <c r="C76" s="18">
        <v>4.5999999999999996</v>
      </c>
      <c r="D76" s="26" t="s">
        <v>41</v>
      </c>
      <c r="E76" s="23">
        <f>('Financial Statements'!B62/'Financial Statements'!C62)-1</f>
        <v>4.9219900525160565E-2</v>
      </c>
      <c r="F76" s="23">
        <f>('Financial Statements'!C62/'Financial Statements'!D62)-1</f>
        <v>0.11356841449783217</v>
      </c>
      <c r="H76" s="24"/>
    </row>
    <row r="77" spans="3:8" x14ac:dyDescent="0.35">
      <c r="C77" s="18">
        <v>4.7</v>
      </c>
      <c r="D77" s="26" t="s">
        <v>45</v>
      </c>
      <c r="E77" s="23">
        <f>('Financial Statements'!B68/'Financial Statements'!C68)-1</f>
        <v>-0.19682992550324929</v>
      </c>
      <c r="F77" s="23">
        <f>('Financial Statements'!C68/'Financial Statements'!D68)-1</f>
        <v>-3.4420483937617652E-2</v>
      </c>
      <c r="H77" s="24"/>
    </row>
    <row r="78" spans="3:8" x14ac:dyDescent="0.35">
      <c r="C78" s="18">
        <v>4.8</v>
      </c>
      <c r="D78" s="26" t="s">
        <v>46</v>
      </c>
      <c r="E78" s="23">
        <f>('Financial Statements'!B69/'Financial Statements'!C69)-1</f>
        <v>4.994273536902849E-3</v>
      </c>
      <c r="F78" s="23">
        <f>('Financial Statements'!C69/'Financial Statements'!D69)-1</f>
        <v>8.3714123400681739E-2</v>
      </c>
      <c r="H78" s="24"/>
    </row>
    <row r="81" spans="3:8" x14ac:dyDescent="0.35">
      <c r="C81" s="33" t="s">
        <v>160</v>
      </c>
      <c r="D81" s="33"/>
      <c r="E81" s="33"/>
      <c r="F81" s="33"/>
      <c r="G81" s="33"/>
      <c r="H81" s="33"/>
    </row>
    <row r="83" spans="3:8" x14ac:dyDescent="0.35">
      <c r="C83" s="18">
        <v>5</v>
      </c>
      <c r="D83" s="26" t="s">
        <v>146</v>
      </c>
      <c r="E83" s="23">
        <f>('Financial Statements'!B12/'Financial Statements'!B8)</f>
        <v>0.56690369438639909</v>
      </c>
      <c r="F83" s="23">
        <f>('Financial Statements'!C12/'Financial Statements'!C8)</f>
        <v>0.58220640374832222</v>
      </c>
      <c r="G83" s="23">
        <f>('Financial Statements'!D12/'Financial Statements'!D8)</f>
        <v>0.61766752272189129</v>
      </c>
      <c r="H83" s="27"/>
    </row>
    <row r="84" spans="3:8" x14ac:dyDescent="0.35">
      <c r="C84" s="18">
        <v>6</v>
      </c>
      <c r="D84" s="26" t="s">
        <v>89</v>
      </c>
      <c r="E84" s="29">
        <f>E63</f>
        <v>0.43309630561360085</v>
      </c>
      <c r="F84" s="29">
        <f t="shared" ref="F84" si="9">F63</f>
        <v>0.41779359625167778</v>
      </c>
      <c r="G84" s="29">
        <f>('Financial Statements'!D8-'Financial Statements'!D12)/'Financial Statements'!D8</f>
        <v>0.38233247727810865</v>
      </c>
      <c r="H84" s="27"/>
    </row>
    <row r="85" spans="3:8" x14ac:dyDescent="0.35">
      <c r="C85" s="18">
        <v>6</v>
      </c>
      <c r="D85" s="17" t="s">
        <v>90</v>
      </c>
    </row>
    <row r="86" spans="3:8" x14ac:dyDescent="0.35">
      <c r="C86">
        <v>6.1</v>
      </c>
      <c r="D86" s="26" t="s">
        <v>11</v>
      </c>
      <c r="E86" s="23">
        <f>('Financial Statements'!B15/'Financial Statements'!B8)</f>
        <v>6.657148363798665E-2</v>
      </c>
      <c r="F86" s="23">
        <f>('Financial Statements'!C15/'Financial Statements'!C8)</f>
        <v>5.9904269074427925E-2</v>
      </c>
      <c r="G86" s="23">
        <f>('Financial Statements'!D15/'Financial Statements'!D8)</f>
        <v>6.8309564140393061E-2</v>
      </c>
      <c r="H86" s="27"/>
    </row>
    <row r="87" spans="3:8" x14ac:dyDescent="0.35">
      <c r="C87">
        <v>6.2</v>
      </c>
      <c r="D87" s="26" t="s">
        <v>12</v>
      </c>
      <c r="E87" s="23">
        <f>'Financial Statements'!B16/'Financial Statements'!B8</f>
        <v>6.3637378020328261E-2</v>
      </c>
      <c r="F87" s="23">
        <f>'Financial Statements'!C16/'Financial Statements'!C8</f>
        <v>6.006555190163388E-2</v>
      </c>
      <c r="G87" s="23">
        <f>'Financial Statements'!D16/'Financial Statements'!D8</f>
        <v>7.2549769593646979E-2</v>
      </c>
      <c r="H87" s="27"/>
    </row>
    <row r="88" spans="3:8" x14ac:dyDescent="0.35">
      <c r="C88" s="18">
        <v>7</v>
      </c>
      <c r="D88" s="26" t="s">
        <v>14</v>
      </c>
      <c r="E88" s="23">
        <f>'Financial Statements'!B18/'Financial Statements'!B8</f>
        <v>0.30288744395528594</v>
      </c>
      <c r="F88" s="23">
        <f>'Financial Statements'!C18/'Financial Statements'!C8</f>
        <v>0.29782377527561593</v>
      </c>
      <c r="G88" s="23">
        <f>'Financial Statements'!D18/'Financial Statements'!D8</f>
        <v>0.24147314354406862</v>
      </c>
      <c r="H88" s="27"/>
    </row>
    <row r="89" spans="3:8" x14ac:dyDescent="0.35">
      <c r="C89" s="18">
        <v>8</v>
      </c>
      <c r="D89" s="26" t="s">
        <v>93</v>
      </c>
      <c r="E89" s="23">
        <f>('Financial Statements'!B22/'Financial Statements'!B8)</f>
        <v>0.25309640705199732</v>
      </c>
      <c r="F89" s="23">
        <f>('Financial Statements'!C22/'Financial Statements'!C8)</f>
        <v>0.25881793355694238</v>
      </c>
      <c r="G89" s="23">
        <f>('Financial Statements'!D22/'Financial Statements'!D8)</f>
        <v>0.20913611278072236</v>
      </c>
      <c r="H89" s="27"/>
    </row>
    <row r="92" spans="3:8" x14ac:dyDescent="0.35">
      <c r="C92" s="30" t="s">
        <v>161</v>
      </c>
      <c r="D92" s="30"/>
      <c r="E92" s="30"/>
      <c r="F92" s="30"/>
      <c r="G92" s="30"/>
      <c r="H92" s="30"/>
    </row>
    <row r="93" spans="3:8" x14ac:dyDescent="0.35">
      <c r="C93" s="18">
        <v>9</v>
      </c>
      <c r="D93" s="26" t="s">
        <v>94</v>
      </c>
      <c r="E93" s="23">
        <f>('Financial Statements'!B113/'Financial Statements'!B20)</f>
        <v>0.1643367505436471</v>
      </c>
      <c r="F93" s="23">
        <f>('Financial Statements'!C113/'Financial Statements'!C20)</f>
        <v>0.23244846942045841</v>
      </c>
      <c r="G93" s="23">
        <f>('Financial Statements'!D113/'Financial Statements'!D20)</f>
        <v>0.14161362924982487</v>
      </c>
      <c r="H93" s="18"/>
    </row>
    <row r="94" spans="3:8" x14ac:dyDescent="0.35">
      <c r="C94" s="18">
        <v>10</v>
      </c>
      <c r="D94" s="26" t="s">
        <v>95</v>
      </c>
      <c r="E94" s="23">
        <f>'Financial Statements'!B96*-1/'Financial Statements'!B8</f>
        <v>2.7155058732831552E-2</v>
      </c>
      <c r="F94" s="23">
        <f>'Financial Statements'!C96*-1/'Financial Statements'!C8</f>
        <v>3.0302036264033657E-2</v>
      </c>
      <c r="G94" s="23">
        <f>'Financial Statements'!D96*-1/'Financial Statements'!D8</f>
        <v>2.6625138881299748E-2</v>
      </c>
      <c r="H94" s="24"/>
    </row>
    <row r="95" spans="3:8" x14ac:dyDescent="0.35">
      <c r="C95" s="18">
        <v>11</v>
      </c>
      <c r="D95" s="26" t="s">
        <v>96</v>
      </c>
      <c r="E95" s="24">
        <f>(E96/'Financial Statements'!B96)*-1</f>
        <v>1.001774374299589</v>
      </c>
      <c r="F95" s="24">
        <f>(F96/'Financial Statements'!C96)*-1</f>
        <v>1.3585926928281462</v>
      </c>
      <c r="G95" s="24">
        <f>(G96/'Financial Statements'!D96)*-1</f>
        <v>2.5126556300451499</v>
      </c>
      <c r="H95" s="24"/>
    </row>
    <row r="96" spans="3:8" x14ac:dyDescent="0.35">
      <c r="D96" s="26" t="s">
        <v>162</v>
      </c>
      <c r="E96">
        <f>(('Financial Statements'!B96-'Financial Statements'!C96)*-1)+'Financial Statements'!B79</f>
        <v>10727</v>
      </c>
      <c r="F96">
        <f>(('Financial Statements'!C96-'Financial Statements'!D96)*-1)+'Financial Statements'!C79</f>
        <v>15060</v>
      </c>
      <c r="G96">
        <f>(('Financial Statements'!D96-'Financial Statements'!E96)*-1)+'Financial Statements'!D79</f>
        <v>18365</v>
      </c>
      <c r="H96" s="12"/>
    </row>
  </sheetData>
  <mergeCells count="5">
    <mergeCell ref="C2:E2"/>
    <mergeCell ref="D56:G56"/>
    <mergeCell ref="C57:H57"/>
    <mergeCell ref="C81:H81"/>
    <mergeCell ref="C92:H9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B34729-74BB-4395-BCD3-EB0859060B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Leonardo Zonouzi</cp:lastModifiedBy>
  <dcterms:created xsi:type="dcterms:W3CDTF">2020-05-18T16:32:37Z</dcterms:created>
  <dcterms:modified xsi:type="dcterms:W3CDTF">2023-10-23T16:26:34Z</dcterms:modified>
</cp:coreProperties>
</file>