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a33a8f250b85449/Documents/Online Courses/Mentorship/"/>
    </mc:Choice>
  </mc:AlternateContent>
  <xr:revisionPtr revIDLastSave="0" documentId="8_{9BB8F9A7-5A80-4285-8C80-2CB5833A6147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Instructions" sheetId="1" r:id="rId1"/>
    <sheet name="Financial Statements" sheetId="2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3" i="3" l="1"/>
  <c r="E51" i="3"/>
  <c r="E50" i="3" s="1"/>
  <c r="D51" i="3"/>
  <c r="D47" i="3"/>
  <c r="E47" i="3"/>
  <c r="D48" i="3"/>
  <c r="E48" i="3"/>
  <c r="D49" i="3"/>
  <c r="E49" i="3"/>
  <c r="D50" i="3"/>
  <c r="D43" i="3"/>
  <c r="E43" i="3"/>
  <c r="E42" i="3" s="1"/>
  <c r="D41" i="3"/>
  <c r="E41" i="3"/>
  <c r="D42" i="3"/>
  <c r="C42" i="3"/>
  <c r="E40" i="3"/>
  <c r="D40" i="3"/>
  <c r="D34" i="3"/>
  <c r="E34" i="3"/>
  <c r="D35" i="3"/>
  <c r="E35" i="3"/>
  <c r="D36" i="3"/>
  <c r="E36" i="3"/>
  <c r="D37" i="3"/>
  <c r="E37" i="3"/>
  <c r="D25" i="3"/>
  <c r="E25" i="3"/>
  <c r="D26" i="3"/>
  <c r="E26" i="3"/>
  <c r="D27" i="3"/>
  <c r="E27" i="3"/>
  <c r="D28" i="3"/>
  <c r="E28" i="3"/>
  <c r="D29" i="3"/>
  <c r="E29" i="3"/>
  <c r="D30" i="3"/>
  <c r="E30" i="3"/>
  <c r="D31" i="3"/>
  <c r="E31" i="3"/>
  <c r="D17" i="3"/>
  <c r="E17" i="3"/>
  <c r="D20" i="3"/>
  <c r="E20" i="3"/>
  <c r="D21" i="3"/>
  <c r="D19" i="3" s="1"/>
  <c r="D18" i="3" s="1"/>
  <c r="E21" i="3"/>
  <c r="E19" i="3" s="1"/>
  <c r="E18" i="3" s="1"/>
  <c r="D22" i="3"/>
  <c r="E22" i="3"/>
  <c r="D13" i="3"/>
  <c r="E13" i="3"/>
  <c r="D14" i="3"/>
  <c r="E14" i="3"/>
  <c r="D5" i="3"/>
  <c r="E5" i="3"/>
  <c r="D6" i="3"/>
  <c r="E6" i="3"/>
  <c r="D7" i="3"/>
  <c r="E7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56" i="3"/>
  <c r="G55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D74" i="3"/>
  <c r="E74" i="3"/>
  <c r="D75" i="3"/>
  <c r="E75" i="3"/>
  <c r="D76" i="3"/>
  <c r="E76" i="3"/>
  <c r="D77" i="3"/>
  <c r="E77" i="3"/>
  <c r="D78" i="3"/>
  <c r="E78" i="3"/>
  <c r="D79" i="3"/>
  <c r="E79" i="3"/>
  <c r="D80" i="3"/>
  <c r="E80" i="3"/>
  <c r="D81" i="3"/>
  <c r="E81" i="3"/>
  <c r="D84" i="3"/>
  <c r="E84" i="3"/>
  <c r="D85" i="3"/>
  <c r="E85" i="3"/>
  <c r="C85" i="3"/>
  <c r="C84" i="3"/>
  <c r="C81" i="3"/>
  <c r="C80" i="3"/>
  <c r="C79" i="3"/>
  <c r="C78" i="3"/>
  <c r="C77" i="3"/>
  <c r="C76" i="3"/>
  <c r="C75" i="3"/>
  <c r="C74" i="3"/>
  <c r="D83" i="3"/>
  <c r="C83" i="3"/>
  <c r="D70" i="3"/>
  <c r="D69" i="3"/>
  <c r="D68" i="3"/>
  <c r="D67" i="3"/>
  <c r="D66" i="3"/>
  <c r="D65" i="3"/>
  <c r="D64" i="3"/>
  <c r="D63" i="3"/>
  <c r="D62" i="3"/>
  <c r="D59" i="3"/>
  <c r="D60" i="3"/>
  <c r="D61" i="3"/>
  <c r="D58" i="3"/>
  <c r="D57" i="3"/>
  <c r="E54" i="3"/>
  <c r="E55" i="3"/>
  <c r="E56" i="3"/>
  <c r="D55" i="3"/>
  <c r="D56" i="3"/>
  <c r="D54" i="3"/>
  <c r="C51" i="3"/>
  <c r="C50" i="3" s="1"/>
  <c r="C49" i="3"/>
  <c r="C48" i="3"/>
  <c r="C43" i="3"/>
  <c r="C30" i="3"/>
  <c r="K4" i="3"/>
  <c r="C47" i="3"/>
  <c r="C41" i="3"/>
  <c r="C40" i="3" s="1"/>
  <c r="C37" i="3"/>
  <c r="C36" i="3"/>
  <c r="C35" i="3"/>
  <c r="C34" i="3"/>
  <c r="C31" i="3"/>
  <c r="C29" i="3"/>
  <c r="C28" i="3"/>
  <c r="C27" i="3"/>
  <c r="C26" i="3"/>
  <c r="C25" i="3"/>
  <c r="C22" i="3"/>
  <c r="C21" i="3"/>
  <c r="C20" i="3"/>
  <c r="C19" i="3"/>
  <c r="C18" i="3" s="1"/>
  <c r="C17" i="3"/>
  <c r="C14" i="3"/>
  <c r="C13" i="3" s="1"/>
  <c r="D9" i="3"/>
  <c r="E9" i="3"/>
  <c r="D10" i="3"/>
  <c r="E10" i="3"/>
  <c r="E12" i="3" s="1"/>
  <c r="D11" i="3"/>
  <c r="E11" i="3"/>
  <c r="C12" i="3"/>
  <c r="C11" i="3"/>
  <c r="C10" i="3"/>
  <c r="C9" i="3"/>
  <c r="E8" i="3"/>
  <c r="C8" i="3"/>
  <c r="D8" i="3"/>
  <c r="D12" i="3" l="1"/>
  <c r="C7" i="3" l="1"/>
  <c r="C6" i="3"/>
  <c r="C5" i="3"/>
  <c r="C63" i="2"/>
  <c r="D63" i="2"/>
  <c r="B63" i="2"/>
  <c r="C62" i="2"/>
  <c r="D62" i="2"/>
  <c r="B62" i="2"/>
  <c r="C50" i="2"/>
  <c r="D50" i="2"/>
  <c r="B50" i="2"/>
  <c r="C10" i="2"/>
  <c r="D10" i="2"/>
  <c r="B10" i="2"/>
  <c r="G54" i="3" l="1"/>
  <c r="A47" i="3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A33" i="3" l="1"/>
  <c r="A25" i="3"/>
  <c r="A26" i="3" s="1"/>
  <c r="A27" i="3" s="1"/>
  <c r="A28" i="3" s="1"/>
  <c r="A29" i="3" s="1"/>
  <c r="A30" i="3" s="1"/>
  <c r="A17" i="3"/>
  <c r="A18" i="3" s="1"/>
  <c r="A20" i="3" s="1"/>
  <c r="A22" i="3" s="1"/>
  <c r="A34" i="3" l="1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4141BC0-CE47-490A-AC8C-131D970EE503}" keepAlive="1" name="Query - Page036" description="Connection to the 'Page036' query in the workbook." type="5" refreshedVersion="0" background="1">
    <dbPr connection="Provider=Microsoft.Mashup.OleDb.1;Data Source=$Workbook$;Location=Page036;Extended Properties=&quot;&quot;" command="SELECT * FROM [Page036]"/>
  </connection>
  <connection id="2" xr16:uid="{0017EF5A-146F-4A7C-B993-77F5BDCF0E8B}" keepAlive="1" name="Query - Table039 (Page 37)" description="Connection to the 'Table039 (Page 37)' query in the workbook." type="5" refreshedVersion="0" background="1">
    <dbPr connection="Provider=Microsoft.Mashup.OleDb.1;Data Source=$Workbook$;Location=&quot;Table039 (Page 37)&quot;;Extended Properties=&quot;&quot;" command="SELECT * FROM [Table039 (Page 37)]"/>
  </connection>
  <connection id="3" xr16:uid="{D79BA72A-D384-4B07-A0E5-C4D17EEDE05B}" keepAlive="1" name="Query - Table041 (Page 39)" description="Connection to the 'Table041 (Page 39)' query in the workbook." type="5" refreshedVersion="0" background="1">
    <dbPr connection="Provider=Microsoft.Mashup.OleDb.1;Data Source=$Workbook$;Location=&quot;Table041 (Page 39)&quot;;Extended Properties=&quot;&quot;" command="SELECT * FROM [Table041 (Page 39)]"/>
  </connection>
  <connection id="4" xr16:uid="{FB85093C-AC05-42BF-A9A8-6D7C32DD1DC6}" keepAlive="1" name="Query - Table045 (Page 47)" description="Connection to the 'Table045 (Page 47)' query in the workbook." type="5" refreshedVersion="0" background="1">
    <dbPr connection="Provider=Microsoft.Mashup.OleDb.1;Data Source=$Workbook$;Location=&quot;Table045 (Page 47)&quot;;Extended Properties=&quot;&quot;" command="SELECT * FROM [Table045 (Page 47)]"/>
  </connection>
  <connection id="5" xr16:uid="{C9F34C64-BB9E-42B0-8957-36AE5A910BEB}" keepAlive="1" name="Query - Table046 (Page 48)" description="Connection to the 'Table046 (Page 48)' query in the workbook." type="5" refreshedVersion="0" background="1">
    <dbPr connection="Provider=Microsoft.Mashup.OleDb.1;Data Source=$Workbook$;Location=&quot;Table046 (Page 48)&quot;;Extended Properties=&quot;&quot;" command="SELECT * FROM [Table046 (Page 48)]"/>
  </connection>
  <connection id="6" xr16:uid="{DF63082A-977D-40A3-A65A-BD37A285772D}" keepAlive="1" name="Query - Table046 (Page 48) (2)" description="Connection to the 'Table046 (Page 48) (2)' query in the workbook." type="5" refreshedVersion="8" background="1" saveData="1">
    <dbPr connection="Provider=Microsoft.Mashup.OleDb.1;Data Source=$Workbook$;Location=&quot;Table046 (Page 48) (2)&quot;;Extended Properties=&quot;&quot;" command="SELECT * FROM [Table046 (Page 48) (2)]"/>
  </connection>
</connections>
</file>

<file path=xl/sharedStrings.xml><?xml version="1.0" encoding="utf-8"?>
<sst xmlns="http://schemas.openxmlformats.org/spreadsheetml/2006/main" count="204" uniqueCount="177">
  <si>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</si>
  <si>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</si>
  <si>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</si>
  <si>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</si>
  <si>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</si>
  <si>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</si>
  <si>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</si>
  <si>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</si>
  <si>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</si>
  <si>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</si>
  <si>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</si>
  <si>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</si>
  <si>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</si>
  <si>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</si>
  <si>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</si>
  <si>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</si>
  <si>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</si>
  <si>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</si>
  <si>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</si>
  <si>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</si>
  <si>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</si>
  <si>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</si>
  <si>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</si>
  <si>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</si>
  <si>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</si>
  <si>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</si>
  <si>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</si>
  <si>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</si>
  <si>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</si>
  <si>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</si>
  <si>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</si>
  <si>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</si>
  <si>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</si>
  <si>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</si>
  <si>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</si>
  <si>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</si>
  <si>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</si>
  <si>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</si>
  <si>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</si>
  <si>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</si>
  <si>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</si>
  <si>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</si>
  <si>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</si>
  <si>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</si>
  <si>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</si>
  <si>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</si>
  <si>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</si>
  <si>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</si>
  <si>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</si>
  <si>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</si>
  <si>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</si>
  <si>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</si>
  <si>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</si>
  <si>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</si>
  <si>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</si>
  <si>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Years ended ,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</si>
  <si>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</si>
  <si>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</si>
  <si>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</si>
  <si>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Growth Rates</t>
  </si>
  <si>
    <t>YoY</t>
  </si>
  <si>
    <t>Products</t>
  </si>
  <si>
    <t>Services</t>
  </si>
  <si>
    <t>Net Sales</t>
  </si>
  <si>
    <t>Gross Profits</t>
  </si>
  <si>
    <t>Cash and cash equivalents</t>
  </si>
  <si>
    <t>Total current assets</t>
  </si>
  <si>
    <t>Total non current assets</t>
  </si>
  <si>
    <t>Total assets</t>
  </si>
  <si>
    <t>Total current liabilities</t>
  </si>
  <si>
    <t>Long Term debt</t>
  </si>
  <si>
    <t>Total liabilities</t>
  </si>
  <si>
    <t>Total shareholders’ equity</t>
  </si>
  <si>
    <t>Total liabilities and shareholders’ equity</t>
  </si>
  <si>
    <t>Sales Margin</t>
  </si>
  <si>
    <t>COGS (Cost of goods sold)</t>
  </si>
  <si>
    <t>Gross profits</t>
  </si>
  <si>
    <t>Operating income</t>
  </si>
  <si>
    <t>Net profit</t>
  </si>
  <si>
    <t>Income tax rate</t>
  </si>
  <si>
    <t>Capex as a percentage of sales</t>
  </si>
  <si>
    <t>Capex as a percentage of fixed assets</t>
  </si>
  <si>
    <t>Cost of sales</t>
  </si>
  <si>
    <t>Fulfillment</t>
  </si>
  <si>
    <t>Technology and content</t>
  </si>
  <si>
    <t>Sales and marketing</t>
  </si>
  <si>
    <t>General and administrative</t>
  </si>
  <si>
    <t>Other operating expense (income), net</t>
  </si>
  <si>
    <t>Total operating expenses</t>
  </si>
  <si>
    <t>OPERATING ACTIVITIES:</t>
  </si>
  <si>
    <t>Net income (loss)</t>
  </si>
  <si>
    <t>Adjustments to reconcile net income (loss) to net cash from operating activities:</t>
  </si>
  <si>
    <t>Depreciation and amortization of property and equipment and capitalized content</t>
  </si>
  <si>
    <t>costs, operating lease assets, and other</t>
  </si>
  <si>
    <t>Stock-based compensation</t>
  </si>
  <si>
    <t>Other expense (income), net</t>
  </si>
  <si>
    <t>Deferred income taxes</t>
  </si>
  <si>
    <t>Changes in operating assets and liabilities:</t>
  </si>
  <si>
    <t>Inventories</t>
  </si>
  <si>
    <t>Accounts receivable, net and other</t>
  </si>
  <si>
    <t>Accounts payable</t>
  </si>
  <si>
    <t>Accrued expenses and other</t>
  </si>
  <si>
    <t>Unearned revenue</t>
  </si>
  <si>
    <t>Net cash provided by (used in) operating activities</t>
  </si>
  <si>
    <t>INVESTING ACTIVITIES:</t>
  </si>
  <si>
    <t>Purchases of property and equipment</t>
  </si>
  <si>
    <t>Proceeds from property and equipment sales and incentives</t>
  </si>
  <si>
    <t>Acquisitions, net of cash acquired, and other</t>
  </si>
  <si>
    <t>Sales and maturities of marketable securities</t>
  </si>
  <si>
    <t>Purchases of marketable securities</t>
  </si>
  <si>
    <t>Net cash provided by (used in) investing activities</t>
  </si>
  <si>
    <t>FINANCING ACTIVITIES:</t>
  </si>
  <si>
    <t>Common stock repurchased</t>
  </si>
  <si>
    <t>—</t>
  </si>
  <si>
    <t>Proceeds from short-term debt, and other</t>
  </si>
  <si>
    <t>Repayments of short-term debt, and other</t>
  </si>
  <si>
    <t>Proceeds from long-term debt</t>
  </si>
  <si>
    <t>Repayments of long-term debt</t>
  </si>
  <si>
    <t>Principal repayments of finance leases</t>
  </si>
  <si>
    <t>Principal repayments of financing obligations</t>
  </si>
  <si>
    <t>Net cash provided by (used in) financing activities</t>
  </si>
  <si>
    <t>Foreign currency effect on cash, cash equivalents, and restricted cash</t>
  </si>
  <si>
    <t>Net increase (decrease) in cash, cash equivalents, and restricted cash</t>
  </si>
  <si>
    <t>CASH, CASH EQUIVALENTS, AND RESTRICTED CASH, END OF PERIOD</t>
  </si>
  <si>
    <t>Cash, Cash Equivalents, and Restricted Cash, Beginning of Period</t>
  </si>
  <si>
    <t>Supplemental cash flow disclosure:</t>
  </si>
  <si>
    <t>Cash paid for income taxes, net</t>
  </si>
  <si>
    <t>Cash paid for interest</t>
  </si>
  <si>
    <t>Total net sales</t>
  </si>
  <si>
    <t>Interest income</t>
  </si>
  <si>
    <t>Interest expense</t>
  </si>
  <si>
    <t>Other income (expense), net</t>
  </si>
  <si>
    <t>Total non-operating income (expense)</t>
  </si>
  <si>
    <t>Income (loss) before income taxes</t>
  </si>
  <si>
    <t>Benefit (provision) for income taxes</t>
  </si>
  <si>
    <t>Equity-method investment activity, net of tax</t>
  </si>
  <si>
    <t>Basic earnings per share</t>
  </si>
  <si>
    <t>Diluted earnings per share</t>
  </si>
  <si>
    <t>Weighted-average shares used in computation of earnings per share:</t>
  </si>
  <si>
    <t>Basic</t>
  </si>
  <si>
    <t>Diluted</t>
  </si>
  <si>
    <t>Current assets:</t>
  </si>
  <si>
    <t>Marketable securities</t>
  </si>
  <si>
    <t>Property and equipment, net</t>
  </si>
  <si>
    <t>Operating leases</t>
  </si>
  <si>
    <t>Goodwill</t>
  </si>
  <si>
    <t>Other assets</t>
  </si>
  <si>
    <t>Current liabilities:</t>
  </si>
  <si>
    <t>Long-term lease liabilities</t>
  </si>
  <si>
    <t>Long-term debt</t>
  </si>
  <si>
    <t>Other long-term liabilities</t>
  </si>
  <si>
    <t>Stockholders’ equity:</t>
  </si>
  <si>
    <t>Preferred stock ($0.01 par value; 500 shares authorized; no shares issued or outstanding)</t>
  </si>
  <si>
    <t>Common stock ($0.01 par value; 100,000 shares authorized; 10,644 and 10,757 shares issued; 10,175 and
10,242 shares outstanding)</t>
  </si>
  <si>
    <t>Treasury stock, at cost</t>
  </si>
  <si>
    <t>Additional paid-in capital</t>
  </si>
  <si>
    <t>Accumulated other comprehensive income (loss)</t>
  </si>
  <si>
    <t>Retained earnings</t>
  </si>
  <si>
    <t>Total stockholders’ equity</t>
  </si>
  <si>
    <t>Total liabilities and stockholders’ equity</t>
  </si>
  <si>
    <t>Net sales:</t>
  </si>
  <si>
    <t>Product sales</t>
  </si>
  <si>
    <t>Service sales</t>
  </si>
  <si>
    <t>Gross Margin</t>
  </si>
  <si>
    <t>Operating Expenses:</t>
  </si>
  <si>
    <t>Earnings per share:</t>
  </si>
  <si>
    <t>Years ended December</t>
  </si>
  <si>
    <t>As at December 31st</t>
  </si>
  <si>
    <t>Non current assets:</t>
  </si>
  <si>
    <t>Total non current liabilities</t>
  </si>
  <si>
    <t>Non current liabilities:</t>
  </si>
  <si>
    <t>Market Capitalisation:</t>
  </si>
  <si>
    <t>Price per share used from market close: 17/11/2023</t>
  </si>
  <si>
    <t>Amazon</t>
  </si>
  <si>
    <t>n/a</t>
  </si>
  <si>
    <t>(In millions)</t>
  </si>
  <si>
    <t>(In Millions)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</si>
</sst>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6" fontId="0" fillId="0" borderId="0" xfId="0" applyNumberForma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10" fontId="0" fillId="0" borderId="0" xfId="3" applyNumberFormat="1" applyFont="1"/>
    <xf numFmtId="2" fontId="0" fillId="0" borderId="0" xfId="0" applyNumberFormat="1"/>
    <xf numFmtId="0" fontId="0" fillId="0" borderId="0" xfId="0" applyAlignment="1">
      <alignment horizontal="left"/>
    </xf>
    <xf numFmtId="49" fontId="0" fillId="0" borderId="0" xfId="0" applyNumberFormat="1"/>
    <xf numFmtId="165" fontId="0" fillId="0" borderId="0" xfId="1" applyNumberFormat="1" applyFont="1" applyBorder="1"/>
    <xf numFmtId="165" fontId="2" fillId="0" borderId="0" xfId="1" applyNumberFormat="1" applyFont="1" applyBorder="1"/>
    <xf numFmtId="0" fontId="2" fillId="0" borderId="3" xfId="0" applyFont="1" applyBorder="1"/>
    <xf numFmtId="0" fontId="2" fillId="0" borderId="2" xfId="0" applyFont="1" applyBorder="1"/>
    <xf numFmtId="165" fontId="0" fillId="0" borderId="0" xfId="1" applyNumberFormat="1" applyFont="1" applyFill="1" applyBorder="1" applyAlignment="1">
      <alignment horizontal="right"/>
    </xf>
    <xf numFmtId="165" fontId="0" fillId="0" borderId="1" xfId="1" applyNumberFormat="1" applyFont="1" applyFill="1" applyBorder="1" applyAlignment="1">
      <alignment horizontal="right"/>
    </xf>
    <xf numFmtId="165" fontId="0" fillId="0" borderId="3" xfId="1" applyNumberFormat="1" applyFont="1" applyFill="1" applyBorder="1" applyAlignment="1">
      <alignment horizontal="right"/>
    </xf>
    <xf numFmtId="165" fontId="0" fillId="0" borderId="2" xfId="1" applyNumberFormat="1" applyFont="1" applyFill="1" applyBorder="1" applyAlignment="1">
      <alignment horizontal="right"/>
    </xf>
    <xf numFmtId="164" fontId="0" fillId="0" borderId="0" xfId="1" applyFont="1" applyFill="1" applyBorder="1" applyAlignment="1">
      <alignment horizontal="right"/>
    </xf>
    <xf numFmtId="165" fontId="1" fillId="0" borderId="0" xfId="1" applyNumberFormat="1" applyFont="1" applyBorder="1"/>
    <xf numFmtId="164" fontId="0" fillId="0" borderId="0" xfId="1" applyFont="1"/>
    <xf numFmtId="167" fontId="0" fillId="0" borderId="0" xfId="0" applyNumberFormat="1"/>
    <xf numFmtId="165" fontId="0" fillId="0" borderId="0" xfId="0" applyNumberFormat="1"/>
    <xf numFmtId="167" fontId="0" fillId="0" borderId="0" xfId="0" applyNumberFormat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4" borderId="0" xfId="0" applyFill="1"/>
    <xf numFmtId="16" fontId="0" fillId="0" borderId="0" xfId="0" applyNumberFormat="1"/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workbookViewId="0">
      <selection activeCell="A5" sqref="A5"/>
    </sheetView>
  </sheetViews>
  <sheetFormatPr defaultRowHeight="14.4" x14ac:dyDescent="0.3"/>
  <cols>
    <col min="1" max="1" width="157.88671875" style="2" customWidth="1"/>
  </cols>
  <sheetData>
    <row r="1" spans="1:1" ht="23.4" x14ac:dyDescent="0.45">
      <c r="A1" s="3" t="s">
        <v>0</v>
      </c>
    </row>
    <row r="3" spans="1:1" x14ac:dyDescent="0.3">
      <c r="A3" s="2" t="s">
        <v>58</v>
      </c>
    </row>
    <row r="4" spans="1:1" x14ac:dyDescent="0.3">
      <c r="A4" s="5" t="s">
        <v>5</v>
      </c>
    </row>
    <row r="5" spans="1:1" x14ac:dyDescent="0.3">
      <c r="A5" s="6" t="s">
        <v>1</v>
      </c>
    </row>
    <row r="7" spans="1:1" x14ac:dyDescent="0.3">
      <c r="A7" s="2" t="s">
        <v>56</v>
      </c>
    </row>
    <row r="8" spans="1:1" x14ac:dyDescent="0.3">
      <c r="A8" s="2" t="s">
        <v>57</v>
      </c>
    </row>
    <row r="9" spans="1:1" ht="28.8" x14ac:dyDescent="0.3">
      <c r="A9" s="2" t="s">
        <v>2</v>
      </c>
    </row>
    <row r="10" spans="1:1" x14ac:dyDescent="0.3">
      <c r="A10" s="2" t="s">
        <v>6</v>
      </c>
    </row>
    <row r="11" spans="1:1" x14ac:dyDescent="0.3">
      <c r="A11" s="2" t="s">
        <v>4</v>
      </c>
    </row>
    <row r="13" spans="1:1" x14ac:dyDescent="0.3">
      <c r="A13" s="4" t="s">
        <v>3</v>
      </c>
    </row>
    <row r="14" spans="1:1" x14ac:dyDescent="0.3">
      <c r="A14" s="2" t="s">
        <v>7</v>
      </c>
    </row>
    <row r="15" spans="1:1" x14ac:dyDescent="0.3">
      <c r="A15" s="2" t="s">
        <v>8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8"/>
  <sheetViews>
    <sheetView topLeftCell="A48" workbookViewId="0">
      <selection activeCell="A69" sqref="A69"/>
    </sheetView>
  </sheetViews>
  <sheetFormatPr defaultRowHeight="14.4" x14ac:dyDescent="0.3"/>
  <cols>
    <col min="1" max="1" width="123.5546875" bestFit="1" customWidth="1"/>
    <col min="2" max="2" width="12.5546875" customWidth="1"/>
    <col min="3" max="4" width="13.21875" bestFit="1" customWidth="1"/>
  </cols>
  <sheetData>
    <row r="1" spans="1:10" ht="60" customHeight="1" x14ac:dyDescent="0.3">
      <c r="A1" s="7" t="s">
        <v>173</v>
      </c>
      <c r="B1" s="8" t="s">
        <v>175</v>
      </c>
      <c r="C1" s="8"/>
      <c r="D1" s="8"/>
      <c r="E1" s="8"/>
      <c r="F1" s="8"/>
      <c r="G1" s="8"/>
      <c r="H1" s="8"/>
      <c r="I1" s="8"/>
      <c r="J1" s="8"/>
    </row>
    <row r="2" spans="1:10" x14ac:dyDescent="0.3">
      <c r="A2" s="37" t="s">
        <v>9</v>
      </c>
      <c r="B2" s="37"/>
      <c r="C2" s="37"/>
      <c r="D2" s="37"/>
    </row>
    <row r="3" spans="1:10" x14ac:dyDescent="0.3">
      <c r="B3" s="38" t="s">
        <v>166</v>
      </c>
      <c r="C3" s="38"/>
      <c r="D3" s="38"/>
    </row>
    <row r="4" spans="1:10" x14ac:dyDescent="0.3">
      <c r="B4" s="9">
        <v>2020</v>
      </c>
      <c r="C4" s="9">
        <v>2021</v>
      </c>
      <c r="D4" s="9">
        <v>2022</v>
      </c>
    </row>
    <row r="5" spans="1:10" x14ac:dyDescent="0.3">
      <c r="A5" s="9" t="s">
        <v>160</v>
      </c>
    </row>
    <row r="6" spans="1:10" x14ac:dyDescent="0.3">
      <c r="A6" s="1" t="s">
        <v>161</v>
      </c>
      <c r="B6" s="27">
        <v>215915</v>
      </c>
      <c r="C6" s="27">
        <v>241787</v>
      </c>
      <c r="D6" s="27">
        <v>242901</v>
      </c>
    </row>
    <row r="7" spans="1:10" x14ac:dyDescent="0.3">
      <c r="A7" s="1" t="s">
        <v>162</v>
      </c>
      <c r="B7" s="27">
        <v>170149</v>
      </c>
      <c r="C7" s="27">
        <v>228035</v>
      </c>
      <c r="D7" s="27">
        <v>271082</v>
      </c>
    </row>
    <row r="8" spans="1:10" x14ac:dyDescent="0.3">
      <c r="A8" s="10" t="s">
        <v>128</v>
      </c>
      <c r="B8" s="28">
        <v>386064</v>
      </c>
      <c r="C8" s="28">
        <v>469822</v>
      </c>
      <c r="D8" s="28">
        <v>513983</v>
      </c>
    </row>
    <row r="9" spans="1:10" x14ac:dyDescent="0.3">
      <c r="A9" s="25" t="s">
        <v>82</v>
      </c>
      <c r="B9" s="29">
        <v>233307</v>
      </c>
      <c r="C9" s="29">
        <v>272344</v>
      </c>
      <c r="D9" s="29">
        <v>288831</v>
      </c>
    </row>
    <row r="10" spans="1:10" x14ac:dyDescent="0.3">
      <c r="A10" s="16" t="s">
        <v>163</v>
      </c>
      <c r="B10" s="27">
        <f>B8-B9</f>
        <v>152757</v>
      </c>
      <c r="C10" s="27">
        <f t="shared" ref="C10:D10" si="0">C8-C9</f>
        <v>197478</v>
      </c>
      <c r="D10" s="27">
        <f t="shared" si="0"/>
        <v>225152</v>
      </c>
    </row>
    <row r="11" spans="1:10" x14ac:dyDescent="0.3">
      <c r="A11" t="s">
        <v>164</v>
      </c>
      <c r="B11" s="27"/>
      <c r="C11" s="27"/>
      <c r="D11" s="27"/>
    </row>
    <row r="12" spans="1:10" x14ac:dyDescent="0.3">
      <c r="A12" s="1" t="s">
        <v>83</v>
      </c>
      <c r="B12" s="27">
        <v>58517</v>
      </c>
      <c r="C12" s="27">
        <v>75111</v>
      </c>
      <c r="D12" s="27">
        <v>84299</v>
      </c>
    </row>
    <row r="13" spans="1:10" x14ac:dyDescent="0.3">
      <c r="A13" s="1" t="s">
        <v>84</v>
      </c>
      <c r="B13" s="27">
        <v>42740</v>
      </c>
      <c r="C13" s="27">
        <v>56052</v>
      </c>
      <c r="D13" s="27">
        <v>73213</v>
      </c>
    </row>
    <row r="14" spans="1:10" x14ac:dyDescent="0.3">
      <c r="A14" s="1" t="s">
        <v>85</v>
      </c>
      <c r="B14" s="27">
        <v>22008</v>
      </c>
      <c r="C14" s="27">
        <v>32551</v>
      </c>
      <c r="D14" s="27">
        <v>42238</v>
      </c>
    </row>
    <row r="15" spans="1:10" x14ac:dyDescent="0.3">
      <c r="A15" s="1" t="s">
        <v>86</v>
      </c>
      <c r="B15" s="27">
        <v>6668</v>
      </c>
      <c r="C15" s="27">
        <v>8823</v>
      </c>
      <c r="D15" s="27">
        <v>11891</v>
      </c>
    </row>
    <row r="16" spans="1:10" x14ac:dyDescent="0.3">
      <c r="A16" s="1" t="s">
        <v>87</v>
      </c>
      <c r="B16" s="27">
        <v>-75</v>
      </c>
      <c r="C16" s="27">
        <v>62</v>
      </c>
      <c r="D16" s="27">
        <v>1263</v>
      </c>
    </row>
    <row r="17" spans="1:7" x14ac:dyDescent="0.3">
      <c r="A17" s="25" t="s">
        <v>88</v>
      </c>
      <c r="B17" s="29">
        <v>363165</v>
      </c>
      <c r="C17" s="29">
        <v>444943</v>
      </c>
      <c r="D17" s="29">
        <v>501735</v>
      </c>
    </row>
    <row r="18" spans="1:7" x14ac:dyDescent="0.3">
      <c r="A18" s="10" t="s">
        <v>77</v>
      </c>
      <c r="B18" s="28">
        <v>22899</v>
      </c>
      <c r="C18" s="28">
        <v>24879</v>
      </c>
      <c r="D18" s="28">
        <v>12248</v>
      </c>
    </row>
    <row r="19" spans="1:7" s="10" customFormat="1" x14ac:dyDescent="0.3">
      <c r="A19" s="1" t="s">
        <v>129</v>
      </c>
      <c r="B19" s="27">
        <v>555</v>
      </c>
      <c r="C19" s="27">
        <v>448</v>
      </c>
      <c r="D19" s="27">
        <v>989</v>
      </c>
      <c r="E19"/>
      <c r="F19"/>
      <c r="G19"/>
    </row>
    <row r="20" spans="1:7" x14ac:dyDescent="0.3">
      <c r="A20" s="1" t="s">
        <v>130</v>
      </c>
      <c r="B20" s="27">
        <v>-1647</v>
      </c>
      <c r="C20" s="27">
        <v>-1809</v>
      </c>
      <c r="D20" s="27">
        <v>-2367</v>
      </c>
    </row>
    <row r="21" spans="1:7" x14ac:dyDescent="0.3">
      <c r="A21" s="1" t="s">
        <v>131</v>
      </c>
      <c r="B21" s="27">
        <v>2371</v>
      </c>
      <c r="C21" s="27">
        <v>14633</v>
      </c>
      <c r="D21" s="27">
        <v>-16806</v>
      </c>
    </row>
    <row r="22" spans="1:7" x14ac:dyDescent="0.3">
      <c r="A22" s="1" t="s">
        <v>132</v>
      </c>
      <c r="B22" s="27">
        <v>1279</v>
      </c>
      <c r="C22" s="27">
        <v>13272</v>
      </c>
      <c r="D22" s="27">
        <v>-18184</v>
      </c>
    </row>
    <row r="23" spans="1:7" x14ac:dyDescent="0.3">
      <c r="A23" s="10" t="s">
        <v>133</v>
      </c>
      <c r="B23" s="28">
        <v>24178</v>
      </c>
      <c r="C23" s="28">
        <v>38151</v>
      </c>
      <c r="D23" s="28">
        <v>-5936</v>
      </c>
    </row>
    <row r="24" spans="1:7" x14ac:dyDescent="0.3">
      <c r="A24" s="1" t="s">
        <v>134</v>
      </c>
      <c r="B24" s="27">
        <v>-2863</v>
      </c>
      <c r="C24" s="27">
        <v>-4791</v>
      </c>
      <c r="D24" s="27">
        <v>3217</v>
      </c>
    </row>
    <row r="25" spans="1:7" x14ac:dyDescent="0.3">
      <c r="A25" s="1" t="s">
        <v>135</v>
      </c>
      <c r="B25" s="27">
        <v>16</v>
      </c>
      <c r="C25" s="27">
        <v>4</v>
      </c>
      <c r="D25" s="27">
        <v>-3</v>
      </c>
    </row>
    <row r="26" spans="1:7" ht="15" thickBot="1" x14ac:dyDescent="0.35">
      <c r="A26" s="26" t="s">
        <v>90</v>
      </c>
      <c r="B26" s="30">
        <v>21331</v>
      </c>
      <c r="C26" s="30">
        <v>33364</v>
      </c>
      <c r="D26" s="30">
        <v>-2722</v>
      </c>
    </row>
    <row r="27" spans="1:7" ht="15" thickTop="1" x14ac:dyDescent="0.3">
      <c r="A27" t="s">
        <v>165</v>
      </c>
      <c r="B27" s="27"/>
      <c r="C27" s="27"/>
      <c r="D27" s="27"/>
    </row>
    <row r="28" spans="1:7" x14ac:dyDescent="0.3">
      <c r="A28" s="1" t="s">
        <v>136</v>
      </c>
      <c r="B28" s="31">
        <v>2.13</v>
      </c>
      <c r="C28" s="31">
        <v>3.3</v>
      </c>
      <c r="D28" s="31">
        <v>-0.27</v>
      </c>
    </row>
    <row r="29" spans="1:7" x14ac:dyDescent="0.3">
      <c r="A29" s="1" t="s">
        <v>137</v>
      </c>
      <c r="B29" s="31">
        <v>2.09</v>
      </c>
      <c r="C29" s="31">
        <v>3.24</v>
      </c>
      <c r="D29" s="31">
        <v>-0.27</v>
      </c>
    </row>
    <row r="30" spans="1:7" x14ac:dyDescent="0.3">
      <c r="A30" t="s">
        <v>138</v>
      </c>
      <c r="B30" s="27"/>
      <c r="C30" s="27"/>
      <c r="D30" s="27"/>
    </row>
    <row r="31" spans="1:7" x14ac:dyDescent="0.3">
      <c r="A31" s="1" t="s">
        <v>139</v>
      </c>
      <c r="B31" s="27">
        <v>10005</v>
      </c>
      <c r="C31" s="27">
        <v>10117</v>
      </c>
      <c r="D31" s="27">
        <v>10189</v>
      </c>
    </row>
    <row r="32" spans="1:7" x14ac:dyDescent="0.3">
      <c r="A32" s="1" t="s">
        <v>140</v>
      </c>
      <c r="B32" s="27">
        <v>10198</v>
      </c>
      <c r="C32" s="27">
        <v>10296</v>
      </c>
      <c r="D32" s="27">
        <v>10189</v>
      </c>
    </row>
    <row r="33" spans="1:4" x14ac:dyDescent="0.3">
      <c r="B33" s="9"/>
      <c r="C33" s="9"/>
      <c r="D33" s="9"/>
    </row>
    <row r="36" spans="1:4" x14ac:dyDescent="0.3">
      <c r="A36" s="37" t="s">
        <v>11</v>
      </c>
      <c r="B36" s="37"/>
      <c r="C36" s="37"/>
      <c r="D36" s="37"/>
    </row>
    <row r="37" spans="1:4" x14ac:dyDescent="0.3">
      <c r="B37" s="38" t="s">
        <v>167</v>
      </c>
      <c r="C37" s="38"/>
      <c r="D37" s="38"/>
    </row>
    <row r="38" spans="1:4" x14ac:dyDescent="0.3">
      <c r="B38" s="9">
        <v>2020</v>
      </c>
      <c r="C38" s="9">
        <v>2021</v>
      </c>
      <c r="D38" s="9">
        <v>2022</v>
      </c>
    </row>
    <row r="39" spans="1:4" x14ac:dyDescent="0.3">
      <c r="A39" t="s">
        <v>141</v>
      </c>
    </row>
    <row r="40" spans="1:4" x14ac:dyDescent="0.3">
      <c r="A40" s="1" t="s">
        <v>65</v>
      </c>
      <c r="B40" s="27">
        <v>42122</v>
      </c>
      <c r="C40" s="27">
        <v>36220</v>
      </c>
      <c r="D40" s="27">
        <v>53888</v>
      </c>
    </row>
    <row r="41" spans="1:4" x14ac:dyDescent="0.3">
      <c r="A41" s="1" t="s">
        <v>142</v>
      </c>
      <c r="B41" s="27">
        <v>42274</v>
      </c>
      <c r="C41" s="27">
        <v>59829</v>
      </c>
      <c r="D41" s="27">
        <v>16138</v>
      </c>
    </row>
    <row r="42" spans="1:4" x14ac:dyDescent="0.3">
      <c r="A42" s="1" t="s">
        <v>98</v>
      </c>
      <c r="B42" s="27">
        <v>23795</v>
      </c>
      <c r="C42" s="27">
        <v>32640</v>
      </c>
      <c r="D42" s="27">
        <v>34405</v>
      </c>
    </row>
    <row r="43" spans="1:4" x14ac:dyDescent="0.3">
      <c r="A43" s="1" t="s">
        <v>99</v>
      </c>
      <c r="B43" s="27">
        <v>24542</v>
      </c>
      <c r="C43" s="27">
        <v>32891</v>
      </c>
      <c r="D43" s="27">
        <v>42360</v>
      </c>
    </row>
    <row r="44" spans="1:4" x14ac:dyDescent="0.3">
      <c r="A44" s="10" t="s">
        <v>66</v>
      </c>
      <c r="B44" s="28">
        <v>132733</v>
      </c>
      <c r="C44" s="28">
        <v>161580</v>
      </c>
      <c r="D44" s="28">
        <v>146791</v>
      </c>
    </row>
    <row r="45" spans="1:4" x14ac:dyDescent="0.3">
      <c r="A45" t="s">
        <v>168</v>
      </c>
      <c r="B45" s="27"/>
      <c r="C45" s="27"/>
      <c r="D45" s="27"/>
    </row>
    <row r="46" spans="1:4" x14ac:dyDescent="0.3">
      <c r="A46" s="1" t="s">
        <v>143</v>
      </c>
      <c r="B46" s="27">
        <v>113114</v>
      </c>
      <c r="C46" s="27">
        <v>160281</v>
      </c>
      <c r="D46" s="27">
        <v>186715</v>
      </c>
    </row>
    <row r="47" spans="1:4" x14ac:dyDescent="0.3">
      <c r="A47" s="1" t="s">
        <v>144</v>
      </c>
      <c r="B47" s="27">
        <v>37553</v>
      </c>
      <c r="C47" s="27">
        <v>56082</v>
      </c>
      <c r="D47" s="27">
        <v>66123</v>
      </c>
    </row>
    <row r="48" spans="1:4" x14ac:dyDescent="0.3">
      <c r="A48" s="1" t="s">
        <v>145</v>
      </c>
      <c r="B48" s="27">
        <v>10017</v>
      </c>
      <c r="C48" s="27">
        <v>15371</v>
      </c>
      <c r="D48" s="27">
        <v>20288</v>
      </c>
    </row>
    <row r="49" spans="1:4" x14ac:dyDescent="0.3">
      <c r="A49" s="1" t="s">
        <v>146</v>
      </c>
      <c r="B49" s="27">
        <v>22778</v>
      </c>
      <c r="C49" s="27">
        <v>27235</v>
      </c>
      <c r="D49" s="27">
        <v>42758</v>
      </c>
    </row>
    <row r="50" spans="1:4" x14ac:dyDescent="0.3">
      <c r="A50" s="10" t="s">
        <v>67</v>
      </c>
      <c r="B50" s="28">
        <f>SUM(B46:B49)</f>
        <v>183462</v>
      </c>
      <c r="C50" s="28">
        <f>SUM(C46:C49)</f>
        <v>258969</v>
      </c>
      <c r="D50" s="28">
        <f t="shared" ref="D50" si="1">SUM(D46:D49)</f>
        <v>315884</v>
      </c>
    </row>
    <row r="51" spans="1:4" ht="15" thickBot="1" x14ac:dyDescent="0.35">
      <c r="A51" s="26" t="s">
        <v>68</v>
      </c>
      <c r="B51" s="30">
        <v>321195</v>
      </c>
      <c r="C51" s="30">
        <v>420549</v>
      </c>
      <c r="D51" s="30">
        <v>462675</v>
      </c>
    </row>
    <row r="52" spans="1:4" ht="15" thickTop="1" x14ac:dyDescent="0.3">
      <c r="B52" s="27"/>
      <c r="C52" s="27"/>
      <c r="D52" s="27"/>
    </row>
    <row r="53" spans="1:4" x14ac:dyDescent="0.3">
      <c r="A53" t="s">
        <v>147</v>
      </c>
      <c r="B53" s="27"/>
      <c r="C53" s="27"/>
      <c r="D53" s="27"/>
    </row>
    <row r="54" spans="1:4" x14ac:dyDescent="0.3">
      <c r="A54" s="1" t="s">
        <v>100</v>
      </c>
      <c r="B54" s="27">
        <v>72539</v>
      </c>
      <c r="C54" s="27">
        <v>78664</v>
      </c>
      <c r="D54" s="27">
        <v>79600</v>
      </c>
    </row>
    <row r="55" spans="1:4" x14ac:dyDescent="0.3">
      <c r="A55" s="1" t="s">
        <v>101</v>
      </c>
      <c r="B55" s="27">
        <v>44138</v>
      </c>
      <c r="C55" s="27">
        <v>51775</v>
      </c>
      <c r="D55" s="27">
        <v>62566</v>
      </c>
    </row>
    <row r="56" spans="1:4" x14ac:dyDescent="0.3">
      <c r="A56" s="1" t="s">
        <v>102</v>
      </c>
      <c r="B56" s="27">
        <v>9708</v>
      </c>
      <c r="C56" s="27">
        <v>11827</v>
      </c>
      <c r="D56" s="27">
        <v>13227</v>
      </c>
    </row>
    <row r="57" spans="1:4" x14ac:dyDescent="0.3">
      <c r="A57" s="10" t="s">
        <v>69</v>
      </c>
      <c r="B57" s="28">
        <v>126385</v>
      </c>
      <c r="C57" s="28">
        <v>142266</v>
      </c>
      <c r="D57" s="28">
        <v>155393</v>
      </c>
    </row>
    <row r="58" spans="1:4" x14ac:dyDescent="0.3">
      <c r="A58" t="s">
        <v>170</v>
      </c>
      <c r="B58" s="27"/>
      <c r="C58" s="27"/>
      <c r="D58" s="27"/>
    </row>
    <row r="59" spans="1:4" x14ac:dyDescent="0.3">
      <c r="A59" s="1" t="s">
        <v>148</v>
      </c>
      <c r="B59" s="27">
        <v>52573</v>
      </c>
      <c r="C59" s="27">
        <v>67651</v>
      </c>
      <c r="D59" s="27">
        <v>72968</v>
      </c>
    </row>
    <row r="60" spans="1:4" x14ac:dyDescent="0.3">
      <c r="A60" s="1" t="s">
        <v>149</v>
      </c>
      <c r="B60" s="27">
        <v>31816</v>
      </c>
      <c r="C60" s="27">
        <v>48744</v>
      </c>
      <c r="D60" s="27">
        <v>67150</v>
      </c>
    </row>
    <row r="61" spans="1:4" x14ac:dyDescent="0.3">
      <c r="A61" s="1" t="s">
        <v>150</v>
      </c>
      <c r="B61" s="27">
        <v>17017</v>
      </c>
      <c r="C61" s="27">
        <v>23643</v>
      </c>
      <c r="D61" s="27">
        <v>21121</v>
      </c>
    </row>
    <row r="62" spans="1:4" x14ac:dyDescent="0.3">
      <c r="A62" s="25" t="s">
        <v>169</v>
      </c>
      <c r="B62" s="29">
        <f>SUM(B59:B61)</f>
        <v>101406</v>
      </c>
      <c r="C62" s="29">
        <f t="shared" ref="C62:D62" si="2">SUM(C59:C61)</f>
        <v>140038</v>
      </c>
      <c r="D62" s="29">
        <f t="shared" si="2"/>
        <v>161239</v>
      </c>
    </row>
    <row r="63" spans="1:4" x14ac:dyDescent="0.3">
      <c r="A63" s="9" t="s">
        <v>71</v>
      </c>
      <c r="B63" s="27">
        <f>B62+B57</f>
        <v>227791</v>
      </c>
      <c r="C63" s="27">
        <f t="shared" ref="C63:D63" si="3">C62+C57</f>
        <v>282304</v>
      </c>
      <c r="D63" s="27">
        <f t="shared" si="3"/>
        <v>316632</v>
      </c>
    </row>
    <row r="64" spans="1:4" x14ac:dyDescent="0.3">
      <c r="B64" s="27"/>
      <c r="C64" s="27"/>
      <c r="D64" s="27"/>
    </row>
    <row r="65" spans="1:4" x14ac:dyDescent="0.3">
      <c r="A65" t="s">
        <v>151</v>
      </c>
      <c r="B65" s="27"/>
      <c r="C65" s="27"/>
      <c r="D65" s="27"/>
    </row>
    <row r="66" spans="1:4" x14ac:dyDescent="0.3">
      <c r="A66" s="1" t="s">
        <v>152</v>
      </c>
      <c r="B66" s="27">
        <v>0</v>
      </c>
      <c r="C66" s="27">
        <v>0</v>
      </c>
      <c r="D66" s="27">
        <v>0</v>
      </c>
    </row>
    <row r="67" spans="1:4" x14ac:dyDescent="0.3">
      <c r="A67" s="1" t="s">
        <v>153</v>
      </c>
      <c r="B67" s="27">
        <v>5</v>
      </c>
      <c r="C67" s="27">
        <v>106</v>
      </c>
      <c r="D67" s="27">
        <v>108</v>
      </c>
    </row>
    <row r="68" spans="1:4" x14ac:dyDescent="0.3">
      <c r="A68" s="1" t="s">
        <v>154</v>
      </c>
      <c r="B68" s="27">
        <v>-1837</v>
      </c>
      <c r="C68" s="27">
        <v>-1837</v>
      </c>
      <c r="D68" s="27">
        <v>-7837</v>
      </c>
    </row>
    <row r="69" spans="1:4" x14ac:dyDescent="0.3">
      <c r="A69" s="1" t="s">
        <v>155</v>
      </c>
      <c r="B69" s="27">
        <v>42865</v>
      </c>
      <c r="C69" s="27">
        <v>55437</v>
      </c>
      <c r="D69" s="27">
        <v>75066</v>
      </c>
    </row>
    <row r="70" spans="1:4" x14ac:dyDescent="0.3">
      <c r="A70" s="1" t="s">
        <v>156</v>
      </c>
      <c r="B70" s="27">
        <v>-180</v>
      </c>
      <c r="C70" s="27">
        <v>-1376</v>
      </c>
      <c r="D70" s="27">
        <v>-4487</v>
      </c>
    </row>
    <row r="71" spans="1:4" x14ac:dyDescent="0.3">
      <c r="A71" s="1" t="s">
        <v>157</v>
      </c>
      <c r="B71" s="27">
        <v>52551</v>
      </c>
      <c r="C71" s="27">
        <v>85915</v>
      </c>
      <c r="D71" s="27">
        <v>83193</v>
      </c>
    </row>
    <row r="72" spans="1:4" x14ac:dyDescent="0.3">
      <c r="A72" s="25" t="s">
        <v>158</v>
      </c>
      <c r="B72" s="29">
        <v>92404</v>
      </c>
      <c r="C72" s="29">
        <v>138245</v>
      </c>
      <c r="D72" s="29">
        <v>146043</v>
      </c>
    </row>
    <row r="73" spans="1:4" ht="15" thickBot="1" x14ac:dyDescent="0.35">
      <c r="A73" s="26" t="s">
        <v>159</v>
      </c>
      <c r="B73" s="30">
        <v>321195</v>
      </c>
      <c r="C73" s="30">
        <v>420549</v>
      </c>
      <c r="D73" s="30">
        <v>462675</v>
      </c>
    </row>
    <row r="74" spans="1:4" ht="15" thickTop="1" x14ac:dyDescent="0.3"/>
    <row r="76" spans="1:4" x14ac:dyDescent="0.3">
      <c r="A76" s="18" t="s">
        <v>12</v>
      </c>
      <c r="B76" s="18"/>
      <c r="C76" s="18"/>
      <c r="D76" s="18"/>
    </row>
    <row r="77" spans="1:4" x14ac:dyDescent="0.3">
      <c r="B77" s="17" t="s">
        <v>166</v>
      </c>
      <c r="C77" s="17"/>
      <c r="D77" s="17"/>
    </row>
    <row r="78" spans="1:4" x14ac:dyDescent="0.3">
      <c r="B78" s="9">
        <v>2020</v>
      </c>
      <c r="C78" s="9">
        <v>2021</v>
      </c>
      <c r="D78" s="9">
        <v>2022</v>
      </c>
    </row>
    <row r="80" spans="1:4" x14ac:dyDescent="0.3">
      <c r="A80" s="9" t="s">
        <v>124</v>
      </c>
    </row>
    <row r="81" spans="1:5" x14ac:dyDescent="0.3">
      <c r="A81" t="s">
        <v>89</v>
      </c>
    </row>
    <row r="82" spans="1:5" x14ac:dyDescent="0.3">
      <c r="A82" s="11" t="s">
        <v>90</v>
      </c>
      <c r="B82" s="27">
        <v>21331</v>
      </c>
      <c r="C82" s="27">
        <v>33364</v>
      </c>
      <c r="D82" s="27">
        <v>-2722</v>
      </c>
    </row>
    <row r="83" spans="1:5" x14ac:dyDescent="0.3">
      <c r="A83" s="1" t="s">
        <v>91</v>
      </c>
      <c r="B83" s="27"/>
      <c r="C83" s="27"/>
      <c r="D83" s="27"/>
    </row>
    <row r="84" spans="1:5" x14ac:dyDescent="0.3">
      <c r="A84" s="1" t="s">
        <v>92</v>
      </c>
      <c r="B84" s="27">
        <v>25180</v>
      </c>
      <c r="C84" s="27">
        <v>34433</v>
      </c>
      <c r="D84" s="27">
        <v>41921</v>
      </c>
    </row>
    <row r="85" spans="1:5" x14ac:dyDescent="0.3">
      <c r="A85" s="1" t="s">
        <v>93</v>
      </c>
      <c r="B85" s="27">
        <v>25180</v>
      </c>
      <c r="C85" s="27">
        <v>34433</v>
      </c>
      <c r="D85" s="27">
        <v>41921</v>
      </c>
    </row>
    <row r="86" spans="1:5" x14ac:dyDescent="0.3">
      <c r="A86" s="1" t="s">
        <v>94</v>
      </c>
      <c r="B86" s="27">
        <v>9208</v>
      </c>
      <c r="C86" s="27">
        <v>12757</v>
      </c>
      <c r="D86" s="27">
        <v>19621</v>
      </c>
    </row>
    <row r="87" spans="1:5" x14ac:dyDescent="0.3">
      <c r="A87" s="1" t="s">
        <v>95</v>
      </c>
      <c r="B87" s="27">
        <v>-2582</v>
      </c>
      <c r="C87" s="27">
        <v>-14306</v>
      </c>
      <c r="D87" s="27">
        <v>16966</v>
      </c>
    </row>
    <row r="88" spans="1:5" x14ac:dyDescent="0.3">
      <c r="A88" s="1" t="s">
        <v>96</v>
      </c>
      <c r="B88" s="27">
        <v>-554</v>
      </c>
      <c r="C88" s="27">
        <v>-310</v>
      </c>
      <c r="D88" s="27">
        <v>-8148</v>
      </c>
      <c r="E88" s="22"/>
    </row>
    <row r="89" spans="1:5" x14ac:dyDescent="0.3">
      <c r="A89" s="21" t="s">
        <v>97</v>
      </c>
      <c r="B89" s="27"/>
      <c r="C89" s="27"/>
      <c r="D89" s="27"/>
    </row>
    <row r="90" spans="1:5" x14ac:dyDescent="0.3">
      <c r="A90" s="1" t="s">
        <v>98</v>
      </c>
      <c r="B90" s="27">
        <v>-2849</v>
      </c>
      <c r="C90" s="27">
        <v>-9487</v>
      </c>
      <c r="D90" s="27">
        <v>-2592</v>
      </c>
    </row>
    <row r="91" spans="1:5" x14ac:dyDescent="0.3">
      <c r="A91" s="1" t="s">
        <v>99</v>
      </c>
      <c r="B91" s="27">
        <v>-8169</v>
      </c>
      <c r="C91" s="27">
        <v>-18163</v>
      </c>
      <c r="D91" s="27">
        <v>-21897</v>
      </c>
    </row>
    <row r="92" spans="1:5" x14ac:dyDescent="0.3">
      <c r="A92" s="1" t="s">
        <v>100</v>
      </c>
      <c r="B92" s="27">
        <v>17480</v>
      </c>
      <c r="C92" s="27">
        <v>3602</v>
      </c>
      <c r="D92" s="27">
        <v>2945</v>
      </c>
    </row>
    <row r="93" spans="1:5" x14ac:dyDescent="0.3">
      <c r="A93" s="1" t="s">
        <v>101</v>
      </c>
      <c r="B93" s="27">
        <v>5754</v>
      </c>
      <c r="C93" s="27">
        <v>2123</v>
      </c>
      <c r="D93" s="27">
        <v>-1558</v>
      </c>
    </row>
    <row r="94" spans="1:5" x14ac:dyDescent="0.3">
      <c r="A94" s="1" t="s">
        <v>102</v>
      </c>
      <c r="B94" s="27">
        <v>1265</v>
      </c>
      <c r="C94" s="27">
        <v>2314</v>
      </c>
      <c r="D94" s="27">
        <v>2216</v>
      </c>
    </row>
    <row r="95" spans="1:5" x14ac:dyDescent="0.3">
      <c r="A95" s="10" t="s">
        <v>103</v>
      </c>
      <c r="B95" s="28">
        <v>66064</v>
      </c>
      <c r="C95" s="28">
        <v>46327</v>
      </c>
      <c r="D95" s="28">
        <v>46752</v>
      </c>
    </row>
    <row r="96" spans="1:5" x14ac:dyDescent="0.3">
      <c r="A96" s="9" t="s">
        <v>104</v>
      </c>
      <c r="B96" s="27"/>
      <c r="C96" s="27"/>
      <c r="D96" s="27"/>
    </row>
    <row r="97" spans="1:5" x14ac:dyDescent="0.3">
      <c r="A97" s="1" t="s">
        <v>105</v>
      </c>
      <c r="B97" s="27">
        <v>-40140</v>
      </c>
      <c r="C97" s="27">
        <v>-61053</v>
      </c>
      <c r="D97" s="27">
        <v>-63645</v>
      </c>
    </row>
    <row r="98" spans="1:5" x14ac:dyDescent="0.3">
      <c r="A98" s="1" t="s">
        <v>106</v>
      </c>
      <c r="B98" s="27">
        <v>5096</v>
      </c>
      <c r="C98" s="27">
        <v>5657</v>
      </c>
      <c r="D98" s="27">
        <v>5324</v>
      </c>
      <c r="E98" s="35"/>
    </row>
    <row r="99" spans="1:5" x14ac:dyDescent="0.3">
      <c r="A99" s="1" t="s">
        <v>107</v>
      </c>
      <c r="B99" s="27">
        <v>-2325</v>
      </c>
      <c r="C99" s="27">
        <v>-1985</v>
      </c>
      <c r="D99" s="27">
        <v>-8316</v>
      </c>
    </row>
    <row r="100" spans="1:5" x14ac:dyDescent="0.3">
      <c r="A100" s="1" t="s">
        <v>108</v>
      </c>
      <c r="B100" s="27">
        <v>50237</v>
      </c>
      <c r="C100" s="27">
        <v>59384</v>
      </c>
      <c r="D100" s="27">
        <v>31601</v>
      </c>
    </row>
    <row r="101" spans="1:5" x14ac:dyDescent="0.3">
      <c r="A101" s="1" t="s">
        <v>109</v>
      </c>
      <c r="B101" s="27">
        <v>-72479</v>
      </c>
      <c r="C101" s="27">
        <v>-60157</v>
      </c>
      <c r="D101" s="27">
        <v>-2565</v>
      </c>
    </row>
    <row r="102" spans="1:5" x14ac:dyDescent="0.3">
      <c r="A102" s="10" t="s">
        <v>110</v>
      </c>
      <c r="B102" s="28">
        <v>-59611</v>
      </c>
      <c r="C102" s="28">
        <v>-58154</v>
      </c>
      <c r="D102" s="28">
        <v>-37601</v>
      </c>
    </row>
    <row r="103" spans="1:5" x14ac:dyDescent="0.3">
      <c r="A103" s="9" t="s">
        <v>111</v>
      </c>
      <c r="B103" s="27"/>
      <c r="C103" s="27"/>
      <c r="D103" s="27"/>
    </row>
    <row r="104" spans="1:5" x14ac:dyDescent="0.3">
      <c r="A104" s="1" t="s">
        <v>112</v>
      </c>
      <c r="B104" s="27" t="s">
        <v>113</v>
      </c>
      <c r="C104" s="27" t="s">
        <v>113</v>
      </c>
      <c r="D104" s="27">
        <v>-6000</v>
      </c>
    </row>
    <row r="105" spans="1:5" x14ac:dyDescent="0.3">
      <c r="A105" s="1" t="s">
        <v>114</v>
      </c>
      <c r="B105" s="27">
        <v>6796</v>
      </c>
      <c r="C105" s="27">
        <v>7956</v>
      </c>
      <c r="D105" s="27">
        <v>41553</v>
      </c>
    </row>
    <row r="106" spans="1:5" x14ac:dyDescent="0.3">
      <c r="A106" s="1" t="s">
        <v>115</v>
      </c>
      <c r="B106" s="27">
        <v>-6177</v>
      </c>
      <c r="C106" s="27">
        <v>-7753</v>
      </c>
      <c r="D106" s="27">
        <v>-37554</v>
      </c>
    </row>
    <row r="107" spans="1:5" x14ac:dyDescent="0.3">
      <c r="A107" s="1" t="s">
        <v>116</v>
      </c>
      <c r="B107" s="27">
        <v>10525</v>
      </c>
      <c r="C107" s="27">
        <v>19003</v>
      </c>
      <c r="D107" s="27">
        <v>21166</v>
      </c>
    </row>
    <row r="108" spans="1:5" x14ac:dyDescent="0.3">
      <c r="A108" s="1" t="s">
        <v>117</v>
      </c>
      <c r="B108" s="27">
        <v>-1553</v>
      </c>
      <c r="C108" s="27">
        <v>-1590</v>
      </c>
      <c r="D108" s="27">
        <v>-1258</v>
      </c>
      <c r="E108" s="35"/>
    </row>
    <row r="109" spans="1:5" x14ac:dyDescent="0.3">
      <c r="A109" s="1" t="s">
        <v>118</v>
      </c>
      <c r="B109" s="27">
        <v>-10642</v>
      </c>
      <c r="C109" s="27">
        <v>-11163</v>
      </c>
      <c r="D109" s="27">
        <v>-7941</v>
      </c>
    </row>
    <row r="110" spans="1:5" x14ac:dyDescent="0.3">
      <c r="A110" s="1" t="s">
        <v>119</v>
      </c>
      <c r="B110" s="27">
        <v>-53</v>
      </c>
      <c r="C110" s="27">
        <v>-162</v>
      </c>
      <c r="D110" s="27">
        <v>-248</v>
      </c>
    </row>
    <row r="111" spans="1:5" x14ac:dyDescent="0.3">
      <c r="A111" s="10" t="s">
        <v>120</v>
      </c>
      <c r="B111" s="28">
        <v>-1104</v>
      </c>
      <c r="C111" s="28">
        <v>6291</v>
      </c>
      <c r="D111" s="28">
        <v>9718</v>
      </c>
    </row>
    <row r="112" spans="1:5" x14ac:dyDescent="0.3">
      <c r="A112" s="1" t="s">
        <v>121</v>
      </c>
      <c r="B112" s="27">
        <v>618</v>
      </c>
      <c r="C112" s="27">
        <v>-364</v>
      </c>
      <c r="D112" s="27">
        <v>-1093</v>
      </c>
    </row>
    <row r="113" spans="1:4" x14ac:dyDescent="0.3">
      <c r="A113" s="25" t="s">
        <v>122</v>
      </c>
      <c r="B113" s="28">
        <v>5967</v>
      </c>
      <c r="C113" s="28">
        <v>-5900</v>
      </c>
      <c r="D113" s="28">
        <v>17776</v>
      </c>
    </row>
    <row r="114" spans="1:4" ht="15" thickBot="1" x14ac:dyDescent="0.35">
      <c r="A114" s="26" t="s">
        <v>123</v>
      </c>
      <c r="B114" s="30">
        <v>42377</v>
      </c>
      <c r="C114" s="30">
        <v>36477</v>
      </c>
      <c r="D114" s="30">
        <v>54253</v>
      </c>
    </row>
    <row r="115" spans="1:4" ht="15" thickTop="1" x14ac:dyDescent="0.3">
      <c r="A115" s="1"/>
      <c r="B115" s="23"/>
      <c r="C115" s="23"/>
      <c r="D115" s="23"/>
    </row>
    <row r="116" spans="1:4" x14ac:dyDescent="0.3">
      <c r="A116" t="s">
        <v>125</v>
      </c>
      <c r="B116" s="24"/>
      <c r="C116" s="24"/>
      <c r="D116" s="24"/>
    </row>
    <row r="117" spans="1:4" x14ac:dyDescent="0.3">
      <c r="A117" t="s">
        <v>126</v>
      </c>
      <c r="B117" s="32">
        <v>811</v>
      </c>
      <c r="C117" s="32">
        <v>1713</v>
      </c>
      <c r="D117" s="32">
        <v>3688</v>
      </c>
    </row>
    <row r="118" spans="1:4" x14ac:dyDescent="0.3">
      <c r="A118" t="s">
        <v>127</v>
      </c>
      <c r="B118" s="32">
        <v>1561</v>
      </c>
      <c r="C118" s="32">
        <v>1630</v>
      </c>
      <c r="D118" s="32">
        <v>1772</v>
      </c>
    </row>
  </sheetData>
  <mergeCells count="4">
    <mergeCell ref="A2:D2"/>
    <mergeCell ref="B3:D3"/>
    <mergeCell ref="B37:D37"/>
    <mergeCell ref="A36:D3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85"/>
  <sheetViews>
    <sheetView tabSelected="1" topLeftCell="A67" workbookViewId="0">
      <selection activeCell="E84" sqref="E84"/>
    </sheetView>
  </sheetViews>
  <sheetFormatPr defaultRowHeight="14.4" x14ac:dyDescent="0.3"/>
  <cols>
    <col min="1" max="1" width="4.6640625" customWidth="1"/>
    <col min="2" max="2" width="44.88671875" customWidth="1"/>
    <col min="3" max="3" width="15.77734375" bestFit="1" customWidth="1"/>
    <col min="4" max="4" width="13.21875" bestFit="1" customWidth="1"/>
    <col min="5" max="5" width="12.5546875" bestFit="1" customWidth="1"/>
    <col min="10" max="10" width="44" bestFit="1" customWidth="1"/>
    <col min="11" max="11" width="14.21875" bestFit="1" customWidth="1"/>
  </cols>
  <sheetData>
    <row r="1" spans="1:11" ht="60" customHeight="1" x14ac:dyDescent="0.5">
      <c r="A1" s="7"/>
      <c r="B1" s="13" t="s">
        <v>173</v>
      </c>
      <c r="C1" s="14"/>
      <c r="D1" s="14"/>
      <c r="E1" s="14"/>
      <c r="F1" s="14"/>
      <c r="G1" s="14"/>
      <c r="H1" s="14"/>
      <c r="I1" s="14"/>
      <c r="J1" s="14" t="s">
        <v>176</v>
      </c>
    </row>
    <row r="2" spans="1:11" x14ac:dyDescent="0.3">
      <c r="C2" s="38" t="s">
        <v>55</v>
      </c>
      <c r="D2" s="38"/>
      <c r="E2" s="38"/>
    </row>
    <row r="3" spans="1:11" x14ac:dyDescent="0.3">
      <c r="C3" s="9">
        <v>2020</v>
      </c>
      <c r="D3" s="9">
        <v>2021</v>
      </c>
      <c r="E3" s="9">
        <v>2022</v>
      </c>
      <c r="J3" t="s">
        <v>172</v>
      </c>
      <c r="K3">
        <v>145.18</v>
      </c>
    </row>
    <row r="4" spans="1:11" x14ac:dyDescent="0.3">
      <c r="A4" s="15">
        <v>1</v>
      </c>
      <c r="B4" s="9" t="s">
        <v>13</v>
      </c>
      <c r="J4" t="s">
        <v>171</v>
      </c>
      <c r="K4" s="33">
        <f>K3*('Financial Statements'!B32)</f>
        <v>1480545.6400000001</v>
      </c>
    </row>
    <row r="5" spans="1:11" x14ac:dyDescent="0.3">
      <c r="A5" s="15">
        <f>+A4+0.1</f>
        <v>1.1000000000000001</v>
      </c>
      <c r="B5" s="1" t="s">
        <v>14</v>
      </c>
      <c r="C5" s="20">
        <f>'Financial Statements'!B44/'Financial Statements'!B57</f>
        <v>1.0502274795268425</v>
      </c>
      <c r="D5" s="20">
        <f>'Financial Statements'!C44/'Financial Statements'!C57</f>
        <v>1.1357597739445826</v>
      </c>
      <c r="E5" s="20">
        <f>'Financial Statements'!D44/'Financial Statements'!D57</f>
        <v>0.9446435811136924</v>
      </c>
      <c r="G5" s="39"/>
    </row>
    <row r="6" spans="1:11" x14ac:dyDescent="0.3">
      <c r="A6" s="15">
        <f t="shared" ref="A6:A13" si="0">+A5+0.1</f>
        <v>1.2000000000000002</v>
      </c>
      <c r="B6" s="1" t="s">
        <v>15</v>
      </c>
      <c r="C6" s="20">
        <f>('Financial Statements'!B44-'Financial Statements'!B42)/'Financial Statements'!B57</f>
        <v>0.86195355461486722</v>
      </c>
      <c r="D6" s="20">
        <f>('Financial Statements'!C44-'Financial Statements'!C42)/'Financial Statements'!C57</f>
        <v>0.90633039517523517</v>
      </c>
      <c r="E6" s="20">
        <f>('Financial Statements'!D44-'Financial Statements'!D42)/'Financial Statements'!D57</f>
        <v>0.72323721145740161</v>
      </c>
    </row>
    <row r="7" spans="1:11" x14ac:dyDescent="0.3">
      <c r="A7" s="15">
        <f t="shared" si="0"/>
        <v>1.3000000000000003</v>
      </c>
      <c r="B7" s="1" t="s">
        <v>16</v>
      </c>
      <c r="C7" s="20">
        <f>'Financial Statements'!B40/'Financial Statements'!B57</f>
        <v>0.33328322190133325</v>
      </c>
      <c r="D7" s="20">
        <f>'Financial Statements'!C40/'Financial Statements'!C57</f>
        <v>0.25459350793583851</v>
      </c>
      <c r="E7" s="20">
        <f>'Financial Statements'!D40/'Financial Statements'!D57</f>
        <v>0.34678524772673158</v>
      </c>
    </row>
    <row r="8" spans="1:11" x14ac:dyDescent="0.3">
      <c r="A8" s="15">
        <f t="shared" si="0"/>
        <v>1.4000000000000004</v>
      </c>
      <c r="B8" s="1" t="s">
        <v>17</v>
      </c>
      <c r="C8" s="20">
        <f>('Financial Statements'!B44)/(('Financial Statements'!B17-'Financial Statements'!B84)/365)</f>
        <v>143.34229329703982</v>
      </c>
      <c r="D8" s="20">
        <f>('Financial Statements'!C44)/(('Financial Statements'!C17-'Financial Statements'!C84)/365)</f>
        <v>143.66690214611094</v>
      </c>
      <c r="E8" s="20">
        <f>('Financial Statements'!D44)/(('Financial Statements'!D17-'Financial Statements'!D84)/365)</f>
        <v>116.52258304444841</v>
      </c>
    </row>
    <row r="9" spans="1:11" x14ac:dyDescent="0.3">
      <c r="A9" s="15">
        <f t="shared" si="0"/>
        <v>1.5000000000000004</v>
      </c>
      <c r="B9" s="1" t="s">
        <v>18</v>
      </c>
      <c r="C9" s="20">
        <f>('Financial Statements'!B42/'Financial Statements'!B9)*365</f>
        <v>37.226379834295585</v>
      </c>
      <c r="D9" s="20">
        <f>('Financial Statements'!C42/'Financial Statements'!C9)*365</f>
        <v>43.744675851129458</v>
      </c>
      <c r="E9" s="20">
        <f>('Financial Statements'!D42/'Financial Statements'!D9)*365</f>
        <v>43.4781065744328</v>
      </c>
    </row>
    <row r="10" spans="1:11" x14ac:dyDescent="0.3">
      <c r="A10" s="15">
        <f t="shared" si="0"/>
        <v>1.6000000000000005</v>
      </c>
      <c r="B10" s="1" t="s">
        <v>19</v>
      </c>
      <c r="C10" s="20">
        <f>('Financial Statements'!B54/'Financial Statements'!B9)*365</f>
        <v>113.48452896826929</v>
      </c>
      <c r="D10" s="20">
        <f>('Financial Statements'!C54/'Financial Statements'!C9)*365</f>
        <v>105.42681314807743</v>
      </c>
      <c r="E10" s="20">
        <f>('Financial Statements'!D54/'Financial Statements'!D9)*365</f>
        <v>100.59169548975007</v>
      </c>
    </row>
    <row r="11" spans="1:11" x14ac:dyDescent="0.3">
      <c r="A11" s="15">
        <f t="shared" si="0"/>
        <v>1.7000000000000006</v>
      </c>
      <c r="B11" s="1" t="s">
        <v>20</v>
      </c>
      <c r="C11" s="20">
        <f>('Financial Statements'!B43/'Financial Statements'!B8)*365</f>
        <v>23.202966347548593</v>
      </c>
      <c r="D11" s="20">
        <f>('Financial Statements'!C43/'Financial Statements'!C8)*365</f>
        <v>25.552688039299991</v>
      </c>
      <c r="E11" s="20">
        <f>('Financial Statements'!D43/'Financial Statements'!D8)*365</f>
        <v>30.081539661817608</v>
      </c>
    </row>
    <row r="12" spans="1:11" x14ac:dyDescent="0.3">
      <c r="A12" s="15">
        <f t="shared" si="0"/>
        <v>1.8000000000000007</v>
      </c>
      <c r="B12" s="1" t="s">
        <v>21</v>
      </c>
      <c r="C12" s="20">
        <f>(C9+C11)-C10</f>
        <v>-53.055182786425107</v>
      </c>
      <c r="D12" s="20">
        <f t="shared" ref="D12:E12" si="1">(D9+D11)-D10</f>
        <v>-36.129449257647977</v>
      </c>
      <c r="E12" s="20">
        <f t="shared" si="1"/>
        <v>-27.03204925349965</v>
      </c>
    </row>
    <row r="13" spans="1:11" x14ac:dyDescent="0.3">
      <c r="A13" s="15">
        <f t="shared" si="0"/>
        <v>1.9000000000000008</v>
      </c>
      <c r="B13" s="1" t="s">
        <v>22</v>
      </c>
      <c r="C13" s="19">
        <f>C14/'Financial Statements'!B8</f>
        <v>1.6442869576028845E-2</v>
      </c>
      <c r="D13" s="19">
        <f>D14/'Financial Statements'!C8</f>
        <v>4.1109186032156859E-2</v>
      </c>
      <c r="E13" s="19">
        <f>E14/'Financial Statements'!D8</f>
        <v>-1.6735962084349094E-2</v>
      </c>
    </row>
    <row r="14" spans="1:11" x14ac:dyDescent="0.3">
      <c r="A14" s="15"/>
      <c r="B14" s="12" t="s">
        <v>23</v>
      </c>
      <c r="C14" s="33">
        <f>'Financial Statements'!B44-'Financial Statements'!B57</f>
        <v>6348</v>
      </c>
      <c r="D14" s="33">
        <f>'Financial Statements'!C44-'Financial Statements'!C57</f>
        <v>19314</v>
      </c>
      <c r="E14" s="33">
        <f>'Financial Statements'!D44-'Financial Statements'!D57</f>
        <v>-8602</v>
      </c>
    </row>
    <row r="15" spans="1:11" x14ac:dyDescent="0.3">
      <c r="A15" s="15"/>
    </row>
    <row r="16" spans="1:11" x14ac:dyDescent="0.3">
      <c r="A16" s="15">
        <f>+A4+1</f>
        <v>2</v>
      </c>
      <c r="B16" s="16" t="s">
        <v>24</v>
      </c>
    </row>
    <row r="17" spans="1:5" x14ac:dyDescent="0.3">
      <c r="A17" s="15">
        <f>+A16+0.1</f>
        <v>2.1</v>
      </c>
      <c r="B17" s="1" t="s">
        <v>10</v>
      </c>
      <c r="C17" s="19">
        <f>'Financial Statements'!B10/'Financial Statements'!B8</f>
        <v>0.3956779186870571</v>
      </c>
      <c r="D17" s="19">
        <f>'Financial Statements'!C10/'Financial Statements'!C8</f>
        <v>0.42032514441639601</v>
      </c>
      <c r="E17" s="19">
        <f>'Financial Statements'!D10/'Financial Statements'!D8</f>
        <v>0.43805339865326287</v>
      </c>
    </row>
    <row r="18" spans="1:5" x14ac:dyDescent="0.3">
      <c r="A18" s="15">
        <f>+A17+0.1</f>
        <v>2.2000000000000002</v>
      </c>
      <c r="B18" s="1" t="s">
        <v>25</v>
      </c>
      <c r="C18" s="19">
        <f>C19/'Financial Statements'!B8</f>
        <v>0.12453634630527581</v>
      </c>
      <c r="D18" s="19">
        <f>D19/'Financial Statements'!C8</f>
        <v>0.12624355607017126</v>
      </c>
      <c r="E18" s="19">
        <f>E19/'Financial Statements'!D8</f>
        <v>0.10539064521589235</v>
      </c>
    </row>
    <row r="19" spans="1:5" x14ac:dyDescent="0.3">
      <c r="A19" s="15"/>
      <c r="B19" s="12" t="s">
        <v>26</v>
      </c>
      <c r="C19" s="33">
        <f>C21+'Financial Statements'!B84</f>
        <v>48079</v>
      </c>
      <c r="D19" s="33">
        <f>D21+'Financial Statements'!C84</f>
        <v>59312</v>
      </c>
      <c r="E19" s="33">
        <f>E21+'Financial Statements'!D84</f>
        <v>54169</v>
      </c>
    </row>
    <row r="20" spans="1:5" x14ac:dyDescent="0.3">
      <c r="A20" s="15">
        <f>+A18+0.1</f>
        <v>2.3000000000000003</v>
      </c>
      <c r="B20" s="1" t="s">
        <v>27</v>
      </c>
      <c r="C20" s="19">
        <f>C21/'Financial Statements'!B8</f>
        <v>5.9313999751336569E-2</v>
      </c>
      <c r="D20" s="19">
        <f>D21/'Financial Statements'!C8</f>
        <v>5.2954097509269465E-2</v>
      </c>
      <c r="E20" s="19">
        <f>E21/'Financial Statements'!D8</f>
        <v>2.3829581912242232E-2</v>
      </c>
    </row>
    <row r="21" spans="1:5" x14ac:dyDescent="0.3">
      <c r="A21" s="15"/>
      <c r="B21" s="12" t="s">
        <v>28</v>
      </c>
      <c r="C21" s="33">
        <f>'Financial Statements'!B18</f>
        <v>22899</v>
      </c>
      <c r="D21" s="33">
        <f>'Financial Statements'!C18</f>
        <v>24879</v>
      </c>
      <c r="E21" s="33">
        <f>'Financial Statements'!D18</f>
        <v>12248</v>
      </c>
    </row>
    <row r="22" spans="1:5" x14ac:dyDescent="0.3">
      <c r="A22" s="15">
        <f>+A20+0.1</f>
        <v>2.4000000000000004</v>
      </c>
      <c r="B22" s="1" t="s">
        <v>29</v>
      </c>
      <c r="C22" s="19">
        <f>'Financial Statements'!B26/'Financial Statements'!B8</f>
        <v>5.5252496995316841E-2</v>
      </c>
      <c r="D22" s="19">
        <f>'Financial Statements'!C26/'Financial Statements'!C8</f>
        <v>7.1014128755145567E-2</v>
      </c>
      <c r="E22" s="19">
        <f>'Financial Statements'!D26/'Financial Statements'!D8</f>
        <v>-5.2958950004183018E-3</v>
      </c>
    </row>
    <row r="23" spans="1:5" x14ac:dyDescent="0.3">
      <c r="A23" s="15"/>
    </row>
    <row r="24" spans="1:5" x14ac:dyDescent="0.3">
      <c r="A24" s="15">
        <f>+A16+1</f>
        <v>3</v>
      </c>
      <c r="B24" s="9" t="s">
        <v>30</v>
      </c>
    </row>
    <row r="25" spans="1:5" x14ac:dyDescent="0.3">
      <c r="A25" s="15">
        <f>+A24+0.1</f>
        <v>3.1</v>
      </c>
      <c r="B25" s="1" t="s">
        <v>31</v>
      </c>
      <c r="C25" s="20">
        <f>'Financial Statements'!B60/'Financial Statements'!B72</f>
        <v>0.34431409895675513</v>
      </c>
      <c r="D25" s="20">
        <f>'Financial Statements'!C60/'Financial Statements'!C72</f>
        <v>0.35259141379435061</v>
      </c>
      <c r="E25" s="20">
        <f>'Financial Statements'!D60/'Financial Statements'!D72</f>
        <v>0.45979608745369516</v>
      </c>
    </row>
    <row r="26" spans="1:5" x14ac:dyDescent="0.3">
      <c r="A26" s="15">
        <f t="shared" ref="A26:A30" si="2">+A25+0.1</f>
        <v>3.2</v>
      </c>
      <c r="B26" s="1" t="s">
        <v>32</v>
      </c>
      <c r="C26" s="20">
        <f>'Financial Statements'!B60/'Financial Statements'!B51</f>
        <v>9.9055091144009094E-2</v>
      </c>
      <c r="D26" s="20">
        <f>'Financial Statements'!C60/'Financial Statements'!C51</f>
        <v>0.11590563763081116</v>
      </c>
      <c r="E26" s="20">
        <f>'Financial Statements'!D60/'Financial Statements'!D51</f>
        <v>0.14513427351812827</v>
      </c>
    </row>
    <row r="27" spans="1:5" x14ac:dyDescent="0.3">
      <c r="A27" s="15">
        <f t="shared" si="2"/>
        <v>3.3000000000000003</v>
      </c>
      <c r="B27" s="1" t="s">
        <v>33</v>
      </c>
      <c r="C27" s="20">
        <f>('Financial Statements'!B60+'Financial Statements'!B72)/'Financial Statements'!B60</f>
        <v>3.9043248679909479</v>
      </c>
      <c r="D27" s="20">
        <f>('Financial Statements'!C60+'Financial Statements'!C72)/'Financial Statements'!C60</f>
        <v>3.8361439356638765</v>
      </c>
      <c r="E27" s="20">
        <f>('Financial Statements'!D60+'Financial Statements'!D72)/'Financial Statements'!D60</f>
        <v>3.1748771407297096</v>
      </c>
    </row>
    <row r="28" spans="1:5" x14ac:dyDescent="0.3">
      <c r="A28" s="15">
        <f t="shared" si="2"/>
        <v>3.4000000000000004</v>
      </c>
      <c r="B28" s="1" t="s">
        <v>34</v>
      </c>
      <c r="C28" s="20">
        <f>'Financial Statements'!B18/'Financial Statements'!B118</f>
        <v>14.66944266495836</v>
      </c>
      <c r="D28" s="20">
        <f>'Financial Statements'!C18/'Financial Statements'!C118</f>
        <v>15.26319018404908</v>
      </c>
      <c r="E28" s="20">
        <f>'Financial Statements'!D18/'Financial Statements'!D118</f>
        <v>6.9119638826185099</v>
      </c>
    </row>
    <row r="29" spans="1:5" x14ac:dyDescent="0.3">
      <c r="A29" s="15">
        <f t="shared" si="2"/>
        <v>3.5000000000000004</v>
      </c>
      <c r="B29" s="1" t="s">
        <v>35</v>
      </c>
      <c r="C29" s="20">
        <f>'Financial Statements'!B18/('Financial Statements'!B118+(-'Financial Statements'!B108))</f>
        <v>7.3535645472061661</v>
      </c>
      <c r="D29" s="20">
        <f>'Financial Statements'!C18/('Financial Statements'!C118+(-'Financial Statements'!C108))</f>
        <v>7.7263975155279505</v>
      </c>
      <c r="E29" s="20">
        <f>'Financial Statements'!D18/('Financial Statements'!D118+(-'Financial Statements'!D108))</f>
        <v>4.0422442244224426</v>
      </c>
    </row>
    <row r="30" spans="1:5" x14ac:dyDescent="0.3">
      <c r="A30" s="15">
        <f t="shared" si="2"/>
        <v>3.6000000000000005</v>
      </c>
      <c r="B30" s="1" t="s">
        <v>36</v>
      </c>
      <c r="C30" s="33">
        <f>C31/('Financial Statements'!B32)</f>
        <v>3.9215532457344575</v>
      </c>
      <c r="D30" s="33">
        <f>D31/('Financial Statements'!C32)</f>
        <v>0.81041181041181043</v>
      </c>
      <c r="E30" s="33">
        <f>E31/('Financial Statements'!D32)</f>
        <v>0.81843164196682694</v>
      </c>
    </row>
    <row r="31" spans="1:5" x14ac:dyDescent="0.3">
      <c r="A31" s="15"/>
      <c r="B31" s="12" t="s">
        <v>37</v>
      </c>
      <c r="C31" s="33">
        <f>'Financial Statements'!B95+('Financial Statements'!B107+'Financial Statements'!B108)+('Financial Statements'!B97+'Financial Statements'!B98)</f>
        <v>39992</v>
      </c>
      <c r="D31" s="33">
        <f>'Financial Statements'!C95+('Financial Statements'!C107+'Financial Statements'!C108)+('Financial Statements'!C97+'Financial Statements'!C98)</f>
        <v>8344</v>
      </c>
      <c r="E31" s="33">
        <f>'Financial Statements'!D95+('Financial Statements'!D107+'Financial Statements'!D108)+('Financial Statements'!D97+'Financial Statements'!D98)</f>
        <v>8339</v>
      </c>
    </row>
    <row r="32" spans="1:5" x14ac:dyDescent="0.3">
      <c r="A32" s="15"/>
    </row>
    <row r="33" spans="1:8" x14ac:dyDescent="0.3">
      <c r="A33" s="15">
        <f>+A24+1</f>
        <v>4</v>
      </c>
      <c r="B33" s="16" t="s">
        <v>38</v>
      </c>
    </row>
    <row r="34" spans="1:8" x14ac:dyDescent="0.3">
      <c r="A34" s="15">
        <f>+A33+0.1</f>
        <v>4.0999999999999996</v>
      </c>
      <c r="B34" s="1" t="s">
        <v>39</v>
      </c>
      <c r="C34" s="19">
        <f>'Financial Statements'!B51/'Financial Statements'!B8</f>
        <v>0.83197345517841603</v>
      </c>
      <c r="D34" s="19">
        <f>'Financial Statements'!C51/'Financial Statements'!C8</f>
        <v>0.89512411083346455</v>
      </c>
      <c r="E34" s="19">
        <f>'Financial Statements'!D51/'Financial Statements'!D8</f>
        <v>0.90017568674450321</v>
      </c>
    </row>
    <row r="35" spans="1:8" x14ac:dyDescent="0.3">
      <c r="A35" s="15">
        <f t="shared" ref="A35:A37" si="3">+A34+0.1</f>
        <v>4.1999999999999993</v>
      </c>
      <c r="B35" s="1" t="s">
        <v>40</v>
      </c>
      <c r="C35" s="19">
        <f>'Financial Statements'!B46/'Financial Statements'!B8</f>
        <v>0.29299287164822413</v>
      </c>
      <c r="D35" s="19">
        <f>'Financial Statements'!C46/'Financial Statements'!C8</f>
        <v>0.34115260673191122</v>
      </c>
      <c r="E35" s="19">
        <f>'Financial Statements'!D46/'Financial Statements'!D8</f>
        <v>0.36327076965580574</v>
      </c>
    </row>
    <row r="36" spans="1:8" x14ac:dyDescent="0.3">
      <c r="A36" s="15">
        <f t="shared" si="3"/>
        <v>4.2999999999999989</v>
      </c>
      <c r="B36" s="1" t="s">
        <v>41</v>
      </c>
      <c r="C36" s="19">
        <f>'Financial Statements'!B42/'Financial Statements'!B8</f>
        <v>6.1634858469062123E-2</v>
      </c>
      <c r="D36" s="19">
        <f>'Financial Statements'!C42/'Financial Statements'!C8</f>
        <v>6.9473119607000103E-2</v>
      </c>
      <c r="E36" s="19">
        <f>'Financial Statements'!D42/'Financial Statements'!D8</f>
        <v>6.6938011568475994E-2</v>
      </c>
    </row>
    <row r="37" spans="1:8" x14ac:dyDescent="0.3">
      <c r="A37" s="15">
        <f t="shared" si="3"/>
        <v>4.3999999999999986</v>
      </c>
      <c r="B37" s="1" t="s">
        <v>42</v>
      </c>
      <c r="C37" s="19">
        <f>'Financial Statements'!B26/'Financial Statements'!B51</f>
        <v>6.6411370040006856E-2</v>
      </c>
      <c r="D37" s="19">
        <f>'Financial Statements'!C26/'Financial Statements'!C51</f>
        <v>7.9334393851846041E-2</v>
      </c>
      <c r="E37" s="19">
        <f>'Financial Statements'!D26/'Financial Statements'!D51</f>
        <v>-5.8831793375479545E-3</v>
      </c>
    </row>
    <row r="38" spans="1:8" x14ac:dyDescent="0.3">
      <c r="A38" s="15"/>
    </row>
    <row r="39" spans="1:8" x14ac:dyDescent="0.3">
      <c r="A39" s="15">
        <f>+A33+1</f>
        <v>5</v>
      </c>
      <c r="B39" s="16" t="s">
        <v>43</v>
      </c>
    </row>
    <row r="40" spans="1:8" x14ac:dyDescent="0.3">
      <c r="A40" s="15">
        <f>+A39+0.1</f>
        <v>5.0999999999999996</v>
      </c>
      <c r="B40" s="1" t="s">
        <v>44</v>
      </c>
      <c r="C40" s="20">
        <f>K3/C41</f>
        <v>69.464114832535898</v>
      </c>
      <c r="D40" s="20">
        <f>K3/D41</f>
        <v>44.808641975308639</v>
      </c>
      <c r="E40" s="20">
        <f>K3/E41</f>
        <v>-537.7037037037037</v>
      </c>
      <c r="H40" s="40"/>
    </row>
    <row r="41" spans="1:8" x14ac:dyDescent="0.3">
      <c r="A41" s="15">
        <f t="shared" ref="A41:A44" si="4">+A40+0.1</f>
        <v>5.1999999999999993</v>
      </c>
      <c r="B41" s="12" t="s">
        <v>45</v>
      </c>
      <c r="C41" s="20">
        <f>'Financial Statements'!B29</f>
        <v>2.09</v>
      </c>
      <c r="D41" s="20">
        <f>'Financial Statements'!C29</f>
        <v>3.24</v>
      </c>
      <c r="E41" s="20">
        <f>'Financial Statements'!D29</f>
        <v>-0.27</v>
      </c>
    </row>
    <row r="42" spans="1:8" x14ac:dyDescent="0.3">
      <c r="A42" s="15">
        <f t="shared" si="4"/>
        <v>5.2999999999999989</v>
      </c>
      <c r="B42" s="1" t="s">
        <v>46</v>
      </c>
      <c r="C42" s="20">
        <f>K3/C43</f>
        <v>16.022527596207958</v>
      </c>
      <c r="D42" s="20">
        <f>K3/D43</f>
        <v>10.812494339759123</v>
      </c>
      <c r="E42" s="20">
        <f>K3/E43</f>
        <v>10.128790972521792</v>
      </c>
    </row>
    <row r="43" spans="1:8" x14ac:dyDescent="0.3">
      <c r="A43" s="15">
        <f t="shared" si="4"/>
        <v>5.3999999999999986</v>
      </c>
      <c r="B43" s="12" t="s">
        <v>47</v>
      </c>
      <c r="C43" s="20">
        <f>'Financial Statements'!B72/('Financial Statements'!B32)</f>
        <v>9.0609923514414596</v>
      </c>
      <c r="D43" s="20">
        <f>'Financial Statements'!C72/('Financial Statements'!C32)</f>
        <v>13.427059052059052</v>
      </c>
      <c r="E43" s="20">
        <f>'Financial Statements'!D72/('Financial Statements'!D32)</f>
        <v>14.333398763372264</v>
      </c>
    </row>
    <row r="44" spans="1:8" x14ac:dyDescent="0.3">
      <c r="A44" s="15">
        <f t="shared" si="4"/>
        <v>5.4999999999999982</v>
      </c>
      <c r="B44" s="1" t="s">
        <v>48</v>
      </c>
      <c r="C44" s="36" t="s">
        <v>174</v>
      </c>
    </row>
    <row r="45" spans="1:8" x14ac:dyDescent="0.3">
      <c r="A45" s="15"/>
      <c r="B45" s="12" t="s">
        <v>49</v>
      </c>
      <c r="C45" s="36" t="s">
        <v>174</v>
      </c>
    </row>
    <row r="46" spans="1:8" x14ac:dyDescent="0.3">
      <c r="A46" s="15">
        <f>+A44+0.1</f>
        <v>5.5999999999999979</v>
      </c>
      <c r="B46" s="1" t="s">
        <v>50</v>
      </c>
      <c r="C46" s="36" t="s">
        <v>174</v>
      </c>
    </row>
    <row r="47" spans="1:8" x14ac:dyDescent="0.3">
      <c r="A47" s="15">
        <f t="shared" ref="A47:A50" si="5">+A45+0.1</f>
        <v>0.1</v>
      </c>
      <c r="B47" s="1" t="s">
        <v>51</v>
      </c>
      <c r="C47" s="19">
        <f>'Financial Statements'!B82/'Financial Statements'!B72</f>
        <v>0.23084498506558157</v>
      </c>
      <c r="D47" s="19">
        <f>'Financial Statements'!C82/'Financial Statements'!C72</f>
        <v>0.2413396506202756</v>
      </c>
      <c r="E47" s="19">
        <f>'Financial Statements'!D82/'Financial Statements'!D72</f>
        <v>-1.8638346240490815E-2</v>
      </c>
    </row>
    <row r="48" spans="1:8" x14ac:dyDescent="0.3">
      <c r="A48" s="15">
        <f t="shared" si="5"/>
        <v>5.6999999999999975</v>
      </c>
      <c r="B48" s="1" t="s">
        <v>52</v>
      </c>
      <c r="C48" s="19">
        <f>'Financial Statements'!B18/('Financial Statements'!B72+'Financial Statements'!B60)</f>
        <v>0.18434229592658188</v>
      </c>
      <c r="D48" s="19">
        <f>'Financial Statements'!C18/('Financial Statements'!C72+'Financial Statements'!C60)</f>
        <v>0.13305060725497223</v>
      </c>
      <c r="E48" s="19">
        <f>'Financial Statements'!D18/('Financial Statements'!D72+'Financial Statements'!D60)</f>
        <v>5.745029151989043E-2</v>
      </c>
    </row>
    <row r="49" spans="1:7" x14ac:dyDescent="0.3">
      <c r="A49" s="15">
        <f t="shared" si="5"/>
        <v>0.2</v>
      </c>
      <c r="B49" s="1" t="s">
        <v>42</v>
      </c>
      <c r="C49" s="19">
        <f>C37</f>
        <v>6.6411370040006856E-2</v>
      </c>
      <c r="D49" s="19">
        <f t="shared" ref="D49:E49" si="6">D37</f>
        <v>7.9334393851846041E-2</v>
      </c>
      <c r="E49" s="19">
        <f t="shared" si="6"/>
        <v>-5.8831793375479545E-3</v>
      </c>
    </row>
    <row r="50" spans="1:7" x14ac:dyDescent="0.3">
      <c r="A50" s="15">
        <f t="shared" si="5"/>
        <v>5.7999999999999972</v>
      </c>
      <c r="B50" s="1" t="s">
        <v>53</v>
      </c>
      <c r="C50" s="34">
        <f>(C51/C19)</f>
        <v>30.579663470538076</v>
      </c>
      <c r="D50" s="34">
        <f t="shared" ref="D50:E50" si="7">(D51/D19)</f>
        <v>25.173146074993259</v>
      </c>
      <c r="E50" s="34">
        <f t="shared" si="7"/>
        <v>27.576799276338868</v>
      </c>
    </row>
    <row r="51" spans="1:7" x14ac:dyDescent="0.3">
      <c r="A51" s="15"/>
      <c r="B51" s="12" t="s">
        <v>54</v>
      </c>
      <c r="C51" s="33">
        <f>K4+('Financial Statements'!B60)-'Financial Statements'!B40</f>
        <v>1470239.6400000001</v>
      </c>
      <c r="D51" s="33">
        <f>K4+('Financial Statements'!C60)-'Financial Statements'!C40</f>
        <v>1493069.6400000001</v>
      </c>
      <c r="E51" s="33">
        <f>K4+('Financial Statements'!D60)-'Financial Statements'!D40</f>
        <v>1493807.6400000001</v>
      </c>
    </row>
    <row r="53" spans="1:7" x14ac:dyDescent="0.3">
      <c r="A53" s="15">
        <v>6</v>
      </c>
      <c r="B53" s="9" t="s">
        <v>59</v>
      </c>
      <c r="G53" t="s">
        <v>60</v>
      </c>
    </row>
    <row r="54" spans="1:7" x14ac:dyDescent="0.3">
      <c r="A54">
        <v>6.1</v>
      </c>
      <c r="B54" t="s">
        <v>61</v>
      </c>
      <c r="C54" s="19"/>
      <c r="D54" s="19">
        <f>('Financial Statements'!C6-'Financial Statements'!B6)/'Financial Statements'!B6</f>
        <v>0.11982493110714865</v>
      </c>
      <c r="E54" s="19">
        <f>('Financial Statements'!D6-'Financial Statements'!C6)/'Financial Statements'!C6</f>
        <v>4.6073610243726913E-3</v>
      </c>
      <c r="G54" s="19">
        <f>(D54+C54)/2</f>
        <v>5.9912465553574323E-2</v>
      </c>
    </row>
    <row r="55" spans="1:7" x14ac:dyDescent="0.3">
      <c r="A55">
        <v>6.2</v>
      </c>
      <c r="B55" t="s">
        <v>62</v>
      </c>
      <c r="C55" s="19"/>
      <c r="D55" s="19">
        <f>('Financial Statements'!C7-'Financial Statements'!B7)/'Financial Statements'!B7</f>
        <v>0.34020770030972852</v>
      </c>
      <c r="E55" s="19">
        <f>('Financial Statements'!D7-'Financial Statements'!C7)/'Financial Statements'!C7</f>
        <v>0.18877365316727696</v>
      </c>
      <c r="G55" s="19">
        <f>(E55+D55)/2</f>
        <v>0.26449067673850274</v>
      </c>
    </row>
    <row r="56" spans="1:7" x14ac:dyDescent="0.3">
      <c r="A56">
        <v>6.3</v>
      </c>
      <c r="B56" t="s">
        <v>63</v>
      </c>
      <c r="C56" s="19"/>
      <c r="D56" s="19">
        <f>('Financial Statements'!C8-'Financial Statements'!B8)/'Financial Statements'!B8</f>
        <v>0.21695366571345684</v>
      </c>
      <c r="E56" s="19">
        <f>('Financial Statements'!D8-'Financial Statements'!C8)/'Financial Statements'!C8</f>
        <v>9.3995172639850841E-2</v>
      </c>
      <c r="G56" s="19">
        <f>(E56+D56)/2</f>
        <v>0.15547441917665383</v>
      </c>
    </row>
    <row r="57" spans="1:7" x14ac:dyDescent="0.3">
      <c r="A57" s="15">
        <v>6.4</v>
      </c>
      <c r="B57" t="s">
        <v>64</v>
      </c>
      <c r="C57" s="19"/>
      <c r="D57" s="19">
        <f>('Financial Statements'!C10-'Financial Statements'!B10)/'Financial Statements'!B10</f>
        <v>0.29275908796323574</v>
      </c>
      <c r="E57" s="19">
        <f>('Financial Statements'!D10-'Financial Statements'!C10)/'Financial Statements'!C10</f>
        <v>0.14013712919920193</v>
      </c>
      <c r="G57" s="19">
        <f t="shared" ref="G57:G70" si="8">(E57+D57)/2</f>
        <v>0.21644810858121882</v>
      </c>
    </row>
    <row r="58" spans="1:7" x14ac:dyDescent="0.3">
      <c r="A58">
        <v>6.5</v>
      </c>
      <c r="B58" s="1" t="s">
        <v>83</v>
      </c>
      <c r="C58" s="19"/>
      <c r="D58" s="19">
        <f>('Financial Statements'!C12-'Financial Statements'!B12)/'Financial Statements'!B12</f>
        <v>0.28357571304065488</v>
      </c>
      <c r="E58" s="19">
        <f>('Financial Statements'!D12-'Financial Statements'!C12)/'Financial Statements'!C12</f>
        <v>0.12232562474204843</v>
      </c>
      <c r="G58" s="19">
        <f t="shared" si="8"/>
        <v>0.20295066889135166</v>
      </c>
    </row>
    <row r="59" spans="1:7" x14ac:dyDescent="0.3">
      <c r="A59">
        <v>6.6</v>
      </c>
      <c r="B59" s="1" t="s">
        <v>84</v>
      </c>
      <c r="C59" s="19"/>
      <c r="D59" s="19">
        <f>('Financial Statements'!C13-'Financial Statements'!B13)/'Financial Statements'!B13</f>
        <v>0.31146467009826861</v>
      </c>
      <c r="E59" s="19">
        <f>('Financial Statements'!D13-'Financial Statements'!C13)/'Financial Statements'!C13</f>
        <v>0.3061621351602084</v>
      </c>
      <c r="G59" s="19">
        <f t="shared" si="8"/>
        <v>0.30881340262923851</v>
      </c>
    </row>
    <row r="60" spans="1:7" x14ac:dyDescent="0.3">
      <c r="A60">
        <v>6.7</v>
      </c>
      <c r="B60" s="1" t="s">
        <v>85</v>
      </c>
      <c r="C60" s="19"/>
      <c r="D60" s="19">
        <f>('Financial Statements'!C14-'Financial Statements'!B14)/'Financial Statements'!B14</f>
        <v>0.47905307161032351</v>
      </c>
      <c r="E60" s="19">
        <f>('Financial Statements'!D14-'Financial Statements'!C14)/'Financial Statements'!C14</f>
        <v>0.29759454394642254</v>
      </c>
      <c r="G60" s="19">
        <f t="shared" si="8"/>
        <v>0.38832380777837305</v>
      </c>
    </row>
    <row r="61" spans="1:7" x14ac:dyDescent="0.3">
      <c r="A61" s="15">
        <v>6.8</v>
      </c>
      <c r="B61" s="1" t="s">
        <v>86</v>
      </c>
      <c r="C61" s="19"/>
      <c r="D61" s="19">
        <f>('Financial Statements'!C15-'Financial Statements'!B15)/'Financial Statements'!B15</f>
        <v>0.32318536292741451</v>
      </c>
      <c r="E61" s="19">
        <f>('Financial Statements'!D15-'Financial Statements'!C15)/'Financial Statements'!C15</f>
        <v>0.3477275303184858</v>
      </c>
      <c r="G61" s="19">
        <f t="shared" si="8"/>
        <v>0.33545644662295016</v>
      </c>
    </row>
    <row r="62" spans="1:7" x14ac:dyDescent="0.3">
      <c r="A62">
        <v>6.9</v>
      </c>
      <c r="B62" s="1" t="s">
        <v>65</v>
      </c>
      <c r="C62" s="19"/>
      <c r="D62" s="19">
        <f>('Financial Statements'!C40-'Financial Statements'!B40)/'Financial Statements'!B40</f>
        <v>-0.14011680357058071</v>
      </c>
      <c r="E62" s="19">
        <f>('Financial Statements'!D40-'Financial Statements'!C40)/'Financial Statements'!C40</f>
        <v>0.48779679734953063</v>
      </c>
      <c r="G62" s="19">
        <f t="shared" si="8"/>
        <v>0.17383999688947496</v>
      </c>
    </row>
    <row r="63" spans="1:7" x14ac:dyDescent="0.3">
      <c r="A63" s="20">
        <v>6.1</v>
      </c>
      <c r="B63" t="s">
        <v>66</v>
      </c>
      <c r="C63" s="19"/>
      <c r="D63" s="19">
        <f>('Financial Statements'!C44-'Financial Statements'!B44)/'Financial Statements'!B44</f>
        <v>0.21733103297597434</v>
      </c>
      <c r="E63" s="19">
        <f>('Financial Statements'!D44-'Financial Statements'!C44)/'Financial Statements'!C44</f>
        <v>-9.1527416759499935E-2</v>
      </c>
      <c r="G63" s="19">
        <f t="shared" si="8"/>
        <v>6.29018081082372E-2</v>
      </c>
    </row>
    <row r="64" spans="1:7" x14ac:dyDescent="0.3">
      <c r="A64">
        <v>6.11</v>
      </c>
      <c r="B64" t="s">
        <v>67</v>
      </c>
      <c r="C64" s="19"/>
      <c r="D64" s="19">
        <f>('Financial Statements'!C50-'Financial Statements'!B50)/'Financial Statements'!B50</f>
        <v>0.41156751806913694</v>
      </c>
      <c r="E64" s="19">
        <f>('Financial Statements'!D50-'Financial Statements'!C50)/'Financial Statements'!C50</f>
        <v>0.21977533990554854</v>
      </c>
      <c r="G64" s="19">
        <f t="shared" si="8"/>
        <v>0.31567142898734274</v>
      </c>
    </row>
    <row r="65" spans="1:7" x14ac:dyDescent="0.3">
      <c r="A65" s="15">
        <v>6.12</v>
      </c>
      <c r="B65" t="s">
        <v>68</v>
      </c>
      <c r="C65" s="19"/>
      <c r="D65" s="19">
        <f>('Financial Statements'!C51-'Financial Statements'!B51)/'Financial Statements'!B51</f>
        <v>0.30932611030682294</v>
      </c>
      <c r="E65" s="19">
        <f>('Financial Statements'!D51-'Financial Statements'!C51)/'Financial Statements'!C51</f>
        <v>0.10016906472254125</v>
      </c>
      <c r="G65" s="19">
        <f t="shared" si="8"/>
        <v>0.20474758751468208</v>
      </c>
    </row>
    <row r="66" spans="1:7" x14ac:dyDescent="0.3">
      <c r="A66">
        <v>6.13</v>
      </c>
      <c r="B66" t="s">
        <v>69</v>
      </c>
      <c r="C66" s="19"/>
      <c r="D66" s="19">
        <f>('Financial Statements'!C57-'Financial Statements'!B57)/'Financial Statements'!B57</f>
        <v>0.12565573446215927</v>
      </c>
      <c r="E66" s="19">
        <f>('Financial Statements'!D57-'Financial Statements'!C57)/'Financial Statements'!C57</f>
        <v>9.2270816639253225E-2</v>
      </c>
      <c r="G66" s="19">
        <f t="shared" si="8"/>
        <v>0.10896327555070626</v>
      </c>
    </row>
    <row r="67" spans="1:7" x14ac:dyDescent="0.3">
      <c r="A67">
        <v>6.14</v>
      </c>
      <c r="B67" s="21" t="s">
        <v>70</v>
      </c>
      <c r="C67" s="19"/>
      <c r="D67" s="19">
        <f>('Financial Statements'!C60-'Financial Statements'!B60)/'Financial Statements'!B60</f>
        <v>0.53205934121196885</v>
      </c>
      <c r="E67" s="19">
        <f>('Financial Statements'!D60-'Financial Statements'!C60)/'Financial Statements'!C60</f>
        <v>0.37760544887575909</v>
      </c>
      <c r="G67" s="19">
        <f t="shared" si="8"/>
        <v>0.45483239504386397</v>
      </c>
    </row>
    <row r="68" spans="1:7" x14ac:dyDescent="0.3">
      <c r="A68">
        <v>6.15</v>
      </c>
      <c r="B68" t="s">
        <v>71</v>
      </c>
      <c r="C68" s="19"/>
      <c r="D68" s="19">
        <f>('Financial Statements'!C63-'Financial Statements'!B63)/'Financial Statements'!B63</f>
        <v>0.23931147411442946</v>
      </c>
      <c r="E68" s="19">
        <f>('Financial Statements'!D63-'Financial Statements'!C63)/'Financial Statements'!C63</f>
        <v>0.12159941056449784</v>
      </c>
      <c r="G68" s="19">
        <f t="shared" si="8"/>
        <v>0.18045544233946365</v>
      </c>
    </row>
    <row r="69" spans="1:7" x14ac:dyDescent="0.3">
      <c r="A69" s="15">
        <v>6.16</v>
      </c>
      <c r="B69" t="s">
        <v>72</v>
      </c>
      <c r="C69" s="19"/>
      <c r="D69" s="19">
        <f>('Financial Statements'!C72-'Financial Statements'!B72)/'Financial Statements'!B72</f>
        <v>0.49609324271676553</v>
      </c>
      <c r="E69" s="19">
        <f>('Financial Statements'!D72-'Financial Statements'!C72)/'Financial Statements'!C72</f>
        <v>5.6407103331042714E-2</v>
      </c>
      <c r="G69" s="19">
        <f t="shared" si="8"/>
        <v>0.27625017302390414</v>
      </c>
    </row>
    <row r="70" spans="1:7" x14ac:dyDescent="0.3">
      <c r="A70">
        <v>6.17</v>
      </c>
      <c r="B70" t="s">
        <v>73</v>
      </c>
      <c r="C70" s="19"/>
      <c r="D70" s="19">
        <f>('Financial Statements'!C73-'Financial Statements'!B73)/'Financial Statements'!B73</f>
        <v>0.30932611030682294</v>
      </c>
      <c r="E70" s="19">
        <f>('Financial Statements'!D73-'Financial Statements'!C73)/'Financial Statements'!C73</f>
        <v>0.10016906472254125</v>
      </c>
      <c r="G70" s="19">
        <f t="shared" si="8"/>
        <v>0.20474758751468208</v>
      </c>
    </row>
    <row r="71" spans="1:7" x14ac:dyDescent="0.3">
      <c r="C71" s="19"/>
      <c r="D71" s="19"/>
      <c r="G71" s="19"/>
    </row>
    <row r="73" spans="1:7" x14ac:dyDescent="0.3">
      <c r="A73">
        <v>7</v>
      </c>
      <c r="B73" s="9" t="s">
        <v>74</v>
      </c>
    </row>
    <row r="74" spans="1:7" x14ac:dyDescent="0.3">
      <c r="A74">
        <v>7.1</v>
      </c>
      <c r="B74" s="1" t="s">
        <v>75</v>
      </c>
      <c r="C74" s="19">
        <f>'Financial Statements'!B9/'Financial Statements'!B8</f>
        <v>0.60432208131294296</v>
      </c>
      <c r="D74" s="19">
        <f>'Financial Statements'!C9/'Financial Statements'!C8</f>
        <v>0.57967485558360399</v>
      </c>
      <c r="E74" s="19">
        <f>'Financial Statements'!D9/'Financial Statements'!D8</f>
        <v>0.56194660134673713</v>
      </c>
      <c r="F74" s="19"/>
    </row>
    <row r="75" spans="1:7" x14ac:dyDescent="0.3">
      <c r="A75">
        <v>7.2</v>
      </c>
      <c r="B75" s="1" t="s">
        <v>76</v>
      </c>
      <c r="C75" s="19">
        <f>'Financial Statements'!B10/'Financial Statements'!B8</f>
        <v>0.3956779186870571</v>
      </c>
      <c r="D75" s="19">
        <f>'Financial Statements'!C10/'Financial Statements'!C8</f>
        <v>0.42032514441639601</v>
      </c>
      <c r="E75" s="19">
        <f>'Financial Statements'!D10/'Financial Statements'!D8</f>
        <v>0.43805339865326287</v>
      </c>
      <c r="F75" s="19"/>
    </row>
    <row r="76" spans="1:7" x14ac:dyDescent="0.3">
      <c r="A76">
        <v>7.3</v>
      </c>
      <c r="B76" s="1" t="s">
        <v>83</v>
      </c>
      <c r="C76" s="19">
        <f>'Financial Statements'!B12/'Financial Statements'!B8</f>
        <v>0.15157331426913673</v>
      </c>
      <c r="D76" s="19">
        <f>'Financial Statements'!C12/'Financial Statements'!C8</f>
        <v>0.15987118525739535</v>
      </c>
      <c r="E76" s="19">
        <f>'Financial Statements'!D12/'Financial Statements'!D8</f>
        <v>0.16401126107283703</v>
      </c>
      <c r="F76" s="19"/>
    </row>
    <row r="77" spans="1:7" x14ac:dyDescent="0.3">
      <c r="A77">
        <v>7.4</v>
      </c>
      <c r="B77" s="1" t="s">
        <v>84</v>
      </c>
      <c r="C77" s="19">
        <f>'Financial Statements'!B13/'Financial Statements'!B8</f>
        <v>0.11070703303079282</v>
      </c>
      <c r="D77" s="19">
        <f>'Financial Statements'!C13/'Financial Statements'!C8</f>
        <v>0.11930475797216818</v>
      </c>
      <c r="E77" s="19">
        <f>'Financial Statements'!D13/'Financial Statements'!D8</f>
        <v>0.14244245432241923</v>
      </c>
      <c r="F77" s="19"/>
    </row>
    <row r="78" spans="1:7" x14ac:dyDescent="0.3">
      <c r="A78">
        <v>7.5</v>
      </c>
      <c r="B78" s="1" t="s">
        <v>85</v>
      </c>
      <c r="C78" s="19">
        <f>'Financial Statements'!B14/'Financial Statements'!B8</f>
        <v>5.7006092254134028E-2</v>
      </c>
      <c r="D78" s="19">
        <f>'Financial Statements'!C14/'Financial Statements'!C8</f>
        <v>6.9283686161993263E-2</v>
      </c>
      <c r="E78" s="19">
        <f>'Financial Statements'!D14/'Financial Statements'!D8</f>
        <v>8.2177815219569517E-2</v>
      </c>
      <c r="F78" s="19"/>
    </row>
    <row r="79" spans="1:7" x14ac:dyDescent="0.3">
      <c r="A79" s="15">
        <v>7.6</v>
      </c>
      <c r="B79" s="1" t="s">
        <v>86</v>
      </c>
      <c r="C79" s="19">
        <f>'Financial Statements'!B15/'Financial Statements'!B8</f>
        <v>1.7271747689502258E-2</v>
      </c>
      <c r="D79" s="19">
        <f>'Financial Statements'!C15/'Financial Statements'!C8</f>
        <v>1.8779452643767215E-2</v>
      </c>
      <c r="E79" s="19">
        <f>'Financial Statements'!D15/'Financial Statements'!D8</f>
        <v>2.3135006410717866E-2</v>
      </c>
      <c r="F79" s="19"/>
    </row>
    <row r="80" spans="1:7" x14ac:dyDescent="0.3">
      <c r="A80" s="15"/>
      <c r="B80" s="1" t="s">
        <v>77</v>
      </c>
      <c r="C80" s="19">
        <f>'Financial Statements'!B18/'Financial Statements'!B8</f>
        <v>5.9313999751336569E-2</v>
      </c>
      <c r="D80" s="19">
        <f>'Financial Statements'!C18/'Financial Statements'!C8</f>
        <v>5.2954097509269465E-2</v>
      </c>
      <c r="E80" s="19">
        <f>'Financial Statements'!D18/'Financial Statements'!D8</f>
        <v>2.3829581912242232E-2</v>
      </c>
    </row>
    <row r="81" spans="1:6" x14ac:dyDescent="0.3">
      <c r="A81" s="15">
        <v>8</v>
      </c>
      <c r="B81" s="1" t="s">
        <v>78</v>
      </c>
      <c r="C81" s="19">
        <f>'Financial Statements'!B26/'Financial Statements'!B8</f>
        <v>5.5252496995316841E-2</v>
      </c>
      <c r="D81" s="19">
        <f>'Financial Statements'!C26/'Financial Statements'!C8</f>
        <v>7.1014128755145567E-2</v>
      </c>
      <c r="E81" s="19">
        <f>'Financial Statements'!D26/'Financial Statements'!D8</f>
        <v>-5.2958950004183018E-3</v>
      </c>
      <c r="F81" s="19"/>
    </row>
    <row r="82" spans="1:6" x14ac:dyDescent="0.3">
      <c r="A82" s="15">
        <v>9</v>
      </c>
      <c r="F82" s="19"/>
    </row>
    <row r="83" spans="1:6" x14ac:dyDescent="0.3">
      <c r="A83" s="15">
        <v>10</v>
      </c>
      <c r="B83" s="11" t="s">
        <v>79</v>
      </c>
      <c r="C83" s="19">
        <f>-('Financial Statements'!B24)/'Financial Statements'!B26</f>
        <v>0.13421780507242981</v>
      </c>
      <c r="D83" s="19">
        <f>-('Financial Statements'!C24)/'Financial Statements'!C26</f>
        <v>0.14359788994125405</v>
      </c>
      <c r="E83" s="19">
        <f>('Financial Statements'!D24)/'Financial Statements'!D26</f>
        <v>-1.1818515797207936</v>
      </c>
      <c r="F83" s="19"/>
    </row>
    <row r="84" spans="1:6" x14ac:dyDescent="0.3">
      <c r="B84" s="11" t="s">
        <v>80</v>
      </c>
      <c r="C84" s="19">
        <f>-'Financial Statements'!B97/'Financial Statements'!B8</f>
        <v>0.10397239835882134</v>
      </c>
      <c r="D84" s="19">
        <f>-'Financial Statements'!C97/'Financial Statements'!C8</f>
        <v>0.12994921480901278</v>
      </c>
      <c r="E84" s="19">
        <f>-'Financial Statements'!D97/'Financial Statements'!D8</f>
        <v>0.12382705264571008</v>
      </c>
    </row>
    <row r="85" spans="1:6" x14ac:dyDescent="0.3">
      <c r="B85" s="11" t="s">
        <v>81</v>
      </c>
      <c r="C85" s="19">
        <f>-'Financial Statements'!B97/'Financial Statements'!B51</f>
        <v>0.1249708121234764</v>
      </c>
      <c r="D85" s="19">
        <f>-'Financial Statements'!C97/'Financial Statements'!C51</f>
        <v>0.1451745218749777</v>
      </c>
      <c r="E85" s="19">
        <f>-'Financial Statements'!D97/'Financial Statements'!D51</f>
        <v>0.13755876154968391</v>
      </c>
    </row>
  </sheetData>
  <mergeCells count="1">
    <mergeCell ref="C2:E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CA4139C-1730-45C4-ABD5-F3A65D195FA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diego mack</cp:lastModifiedBy>
  <dcterms:created xsi:type="dcterms:W3CDTF">2020-05-19T16:15:53Z</dcterms:created>
  <dcterms:modified xsi:type="dcterms:W3CDTF">2023-11-23T20:10:12Z</dcterms:modified>
</cp:coreProperties>
</file>