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usifbhuiyan/Documents/Quill Capital/"/>
    </mc:Choice>
  </mc:AlternateContent>
  <xr:revisionPtr revIDLastSave="0" documentId="13_ncr:1_{F789233F-FBBA-144A-B69C-C2FD48863264}" xr6:coauthVersionLast="47" xr6:coauthVersionMax="47" xr10:uidLastSave="{00000000-0000-0000-0000-000000000000}"/>
  <bookViews>
    <workbookView xWindow="0" yWindow="500" windowWidth="26680" windowHeight="1604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C8" i="3"/>
  <c r="D29" i="3"/>
  <c r="E29" i="3"/>
  <c r="C29" i="3"/>
  <c r="D55" i="3"/>
  <c r="E55" i="3"/>
  <c r="C55" i="3"/>
  <c r="D47" i="3"/>
  <c r="E47" i="3"/>
  <c r="C47" i="3"/>
  <c r="D45" i="3" l="1"/>
  <c r="D44" i="3" s="1"/>
  <c r="E45" i="3"/>
  <c r="E44" i="3" s="1"/>
  <c r="C45" i="3"/>
  <c r="C44" i="3" s="1"/>
  <c r="D38" i="3"/>
  <c r="D39" i="3"/>
  <c r="C39" i="3"/>
  <c r="C38" i="3"/>
  <c r="D9" i="3"/>
  <c r="E9" i="3"/>
  <c r="D10" i="3"/>
  <c r="E10" i="3"/>
  <c r="C10" i="3"/>
  <c r="C9" i="3"/>
  <c r="D69" i="2"/>
  <c r="E46" i="3" s="1"/>
  <c r="D56" i="2"/>
  <c r="D61" i="2" s="1"/>
  <c r="D44" i="2"/>
  <c r="E14" i="3" s="1"/>
  <c r="E13" i="3" s="1"/>
  <c r="D112" i="2"/>
  <c r="C112" i="2"/>
  <c r="B112" i="2"/>
  <c r="C106" i="2"/>
  <c r="D106" i="2"/>
  <c r="B106" i="2"/>
  <c r="C97" i="2"/>
  <c r="D97" i="2"/>
  <c r="B97" i="2"/>
  <c r="C90" i="2"/>
  <c r="D31" i="3" s="1"/>
  <c r="D30" i="3" s="1"/>
  <c r="D90" i="2"/>
  <c r="E31" i="3" s="1"/>
  <c r="E30" i="3" s="1"/>
  <c r="B90" i="2"/>
  <c r="C31" i="3" s="1"/>
  <c r="C30" i="3" s="1"/>
  <c r="C69" i="2"/>
  <c r="D46" i="3" s="1"/>
  <c r="B69" i="2"/>
  <c r="C25" i="3" s="1"/>
  <c r="C56" i="2"/>
  <c r="C61" i="2" s="1"/>
  <c r="B56" i="2"/>
  <c r="B61" i="2" s="1"/>
  <c r="C44" i="2"/>
  <c r="C49" i="2" s="1"/>
  <c r="D26" i="3" s="1"/>
  <c r="B44" i="2"/>
  <c r="B49" i="2" s="1"/>
  <c r="C35" i="3" s="1"/>
  <c r="C22" i="2"/>
  <c r="D22" i="2"/>
  <c r="B22" i="2"/>
  <c r="C17" i="2"/>
  <c r="D17" i="2"/>
  <c r="B17" i="2"/>
  <c r="C8" i="2"/>
  <c r="C10" i="2" s="1"/>
  <c r="D8" i="2"/>
  <c r="D10" i="2" s="1"/>
  <c r="B8" i="2"/>
  <c r="B10" i="2" s="1"/>
  <c r="C5" i="3" l="1"/>
  <c r="D6" i="3"/>
  <c r="C26" i="3"/>
  <c r="E27" i="3"/>
  <c r="E25" i="3"/>
  <c r="C37" i="3"/>
  <c r="C36" i="3" s="1"/>
  <c r="C46" i="3"/>
  <c r="D49" i="2"/>
  <c r="E26" i="3" s="1"/>
  <c r="C6" i="3"/>
  <c r="D14" i="3"/>
  <c r="D13" i="3" s="1"/>
  <c r="E7" i="3"/>
  <c r="E5" i="3"/>
  <c r="E17" i="3"/>
  <c r="C27" i="3"/>
  <c r="D27" i="3"/>
  <c r="D25" i="3"/>
  <c r="C7" i="3"/>
  <c r="C11" i="3"/>
  <c r="C12" i="3" s="1"/>
  <c r="E11" i="3"/>
  <c r="E12" i="3" s="1"/>
  <c r="D7" i="3"/>
  <c r="D5" i="3"/>
  <c r="D17" i="3"/>
  <c r="D70" i="2"/>
  <c r="C14" i="3"/>
  <c r="C13" i="3" s="1"/>
  <c r="D11" i="3"/>
  <c r="E6" i="3"/>
  <c r="C17" i="3"/>
  <c r="C34" i="3"/>
  <c r="D12" i="3"/>
  <c r="C70" i="2"/>
  <c r="B70" i="2"/>
  <c r="D18" i="2"/>
  <c r="C18" i="2"/>
  <c r="B18" i="2"/>
  <c r="B23" i="2" l="1"/>
  <c r="B26" i="2" s="1"/>
  <c r="C21" i="3"/>
  <c r="C19" i="3"/>
  <c r="C23" i="2"/>
  <c r="C26" i="2" s="1"/>
  <c r="D21" i="3"/>
  <c r="D19" i="3"/>
  <c r="D23" i="2"/>
  <c r="D26" i="2" s="1"/>
  <c r="E19" i="3"/>
  <c r="E21" i="3"/>
  <c r="D35" i="3"/>
  <c r="D34" i="3" s="1"/>
  <c r="D37" i="3"/>
  <c r="D36" i="3" s="1"/>
  <c r="A51" i="3"/>
  <c r="A53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E18" i="3" l="1"/>
  <c r="E54" i="3"/>
  <c r="D53" i="3"/>
  <c r="D51" i="3"/>
  <c r="D22" i="3"/>
  <c r="D40" i="3"/>
  <c r="E22" i="3"/>
  <c r="E51" i="3"/>
  <c r="C18" i="3"/>
  <c r="C54" i="3"/>
  <c r="D18" i="3"/>
  <c r="D54" i="3"/>
  <c r="C28" i="3"/>
  <c r="C52" i="3"/>
  <c r="C20" i="3"/>
  <c r="E28" i="3"/>
  <c r="E52" i="3"/>
  <c r="E20" i="3"/>
  <c r="D20" i="3"/>
  <c r="D52" i="3"/>
  <c r="D28" i="3"/>
  <c r="C53" i="3"/>
  <c r="C22" i="3"/>
  <c r="C51" i="3"/>
  <c r="C40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6" i="3" s="1"/>
  <c r="A38" i="3" s="1"/>
  <c r="A40" i="3" s="1"/>
  <c r="A43" i="3"/>
  <c r="A44" i="3" s="1"/>
  <c r="A45" i="3" s="1"/>
  <c r="A46" i="3" s="1"/>
  <c r="A47" i="3" s="1"/>
  <c r="A48" i="3" s="1"/>
  <c r="A50" i="3" s="1"/>
  <c r="A52" i="3" s="1"/>
  <c r="A54" i="3" s="1"/>
</calcChain>
</file>

<file path=xl/sharedStrings.xml><?xml version="1.0" encoding="utf-8"?>
<sst xmlns="http://schemas.openxmlformats.org/spreadsheetml/2006/main" count="167" uniqueCount="161">
  <si>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</si>
  <si>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</si>
  <si>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</si>
  <si>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</si>
  <si>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</si>
  <si>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</si>
  <si>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</si>
  <si>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</si>
  <si>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</si>
  <si>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</si>
  <si>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</si>
  <si>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</si>
  <si>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</si>
  <si>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</si>
  <si>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</si>
  <si>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</si>
  <si>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</si>
  <si>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</si>
  <si>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</si>
  <si>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</si>
  <si>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</si>
  <si>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</si>
  <si>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</si>
  <si>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</si>
  <si>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</si>
  <si>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</si>
  <si>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</si>
  <si>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</si>
  <si>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</si>
  <si>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</si>
  <si>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</si>
  <si>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</si>
  <si>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</si>
  <si>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</si>
  <si>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</si>
  <si>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</si>
  <si>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</si>
  <si>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</si>
  <si>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</si>
  <si>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</si>
  <si>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</si>
  <si>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</si>
  <si>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</si>
  <si>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</si>
  <si>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</si>
  <si>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</si>
  <si>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</si>
  <si>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</si>
  <si>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</si>
  <si>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</si>
  <si>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</si>
  <si>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</si>
  <si>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</si>
  <si>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</si>
  <si>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</si>
  <si>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</si>
  <si>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</si>
  <si>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</si>
  <si>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</si>
  <si>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</si>
  <si>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</si>
  <si>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</si>
  <si>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</si>
  <si>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</si>
  <si>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</si>
  <si>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</si>
  <si>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</si>
  <si>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</si>
  <si>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Operating expenses:</t>
  </si>
  <si>
    <t>Total operating expenses</t>
  </si>
  <si>
    <t>Operating income</t>
  </si>
  <si>
    <t>Other income/(expense), net</t>
  </si>
  <si>
    <t>Income before provision for income taxes</t>
  </si>
  <si>
    <t>Net income</t>
  </si>
  <si>
    <t>Earnings per share:</t>
  </si>
  <si>
    <t>Basic</t>
  </si>
  <si>
    <t>Diluted</t>
  </si>
  <si>
    <t>Shares used in computing earnings per share:</t>
  </si>
  <si>
    <t>Fulfillment</t>
  </si>
  <si>
    <t>Technology</t>
  </si>
  <si>
    <t>Amazon Inc.</t>
  </si>
  <si>
    <t>Sales and Marketing</t>
  </si>
  <si>
    <t>General and Admin</t>
  </si>
  <si>
    <t>Other operating expense (Income) net</t>
  </si>
  <si>
    <t>Interest Income</t>
  </si>
  <si>
    <t>Interest Expense</t>
  </si>
  <si>
    <t>Total Non-Operating Income (expense)</t>
  </si>
  <si>
    <t>Benefit (provisions) for income taxes</t>
  </si>
  <si>
    <t>Equity Method Investment Activit, Net of tax</t>
  </si>
  <si>
    <t>Net income (Loss)</t>
  </si>
  <si>
    <t>Assets</t>
  </si>
  <si>
    <t>Current Assets:</t>
  </si>
  <si>
    <t>Cash and Cash Equivalent</t>
  </si>
  <si>
    <t>Marketable Securities</t>
  </si>
  <si>
    <t>Inventories</t>
  </si>
  <si>
    <t>Accountes Recievable, net and other</t>
  </si>
  <si>
    <t>Total Current Assets</t>
  </si>
  <si>
    <t>Property and Equipment, Net</t>
  </si>
  <si>
    <t>Operating Leases</t>
  </si>
  <si>
    <t>Goodwill</t>
  </si>
  <si>
    <t>Other Assests</t>
  </si>
  <si>
    <t>Total Assets</t>
  </si>
  <si>
    <t>Liabilities and Shockholders Equity</t>
  </si>
  <si>
    <t>Current Liabilities:</t>
  </si>
  <si>
    <t>Accounts Payable</t>
  </si>
  <si>
    <t>Accrues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</si>
  <si>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</si>
  <si>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</si>
  <si>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</si>
  <si>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</si>
  <si>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</si>
  <si>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 (note 7)</t>
  </si>
  <si>
    <t>Stockholders Equity:</t>
  </si>
  <si>
    <t>Preferred stock ($0.01 par value; 500 shares authorized; no shares issued or outstanding)</t>
  </si>
  <si>
    <t xml:space="preserve">Common stock ($0.01 par value; 100,000 shares authorized; 10,644 and 10,757 shares issued; 10,175 and 10,242 shares outstanding) </t>
  </si>
  <si>
    <t>Treasury stock,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</si>
  <si>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</si>
  <si>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</si>
  <si>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</si>
  <si>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</si>
  <si>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</si>
  <si>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Total Liabilities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</si>
  <si>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</si>
  <si>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</si>
  <si>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</si>
  <si>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</si>
  <si>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</si>
  <si>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Other expense (income) net</t>
  </si>
  <si>
    <t>Deferred income tax expense/(benefit)</t>
  </si>
  <si>
    <t>Changes in operating assets and liabilities:</t>
  </si>
  <si>
    <t>Accounts receivable, net</t>
  </si>
  <si>
    <t>Accounts payable</t>
  </si>
  <si>
    <t>Accrued expenses and other</t>
  </si>
  <si>
    <t>Cash generated by operating activities</t>
  </si>
  <si>
    <t>Investing activities:</t>
  </si>
  <si>
    <t>Purchases of marketable securities</t>
  </si>
  <si>
    <t>Proceeds from property and equipment sales and incentives</t>
  </si>
  <si>
    <t>Acquisitions, net of cash acquired, and other</t>
  </si>
  <si>
    <t>Cash generated by/(used in) investing activities</t>
  </si>
  <si>
    <t>Financing activities:</t>
  </si>
  <si>
    <t>Proceeds from long term debt</t>
  </si>
  <si>
    <t>Repayments of short term debt, and other</t>
  </si>
  <si>
    <t>Proceeds from short-term debt, and other</t>
  </si>
  <si>
    <t>Cash used in financing activities</t>
  </si>
  <si>
    <t>Foreign currency effect on cash, cash equivalents, and restricted cash</t>
  </si>
  <si>
    <t>Increase/(Decrease) in cash, cash equivalents and restricted</t>
  </si>
  <si>
    <t>Cash, cash equivalents and restricted cash, ending balances</t>
  </si>
  <si>
    <t>Inventory</t>
  </si>
  <si>
    <t>Purchases of propert and equipment</t>
  </si>
  <si>
    <t>Sales and maturies of marketable securities</t>
  </si>
  <si>
    <t>Common stock repurchased</t>
  </si>
  <si>
    <t>Repayments of long-term debt</t>
  </si>
  <si>
    <t>Principal repayment of finance leases</t>
  </si>
  <si>
    <t>Principal repayment of financing obligations</t>
  </si>
  <si>
    <t>Cash Paid for Income taxes, net</t>
  </si>
  <si>
    <t>Cash paid for interest</t>
  </si>
  <si>
    <t>Average Total Asset</t>
  </si>
  <si>
    <t>Average Fixed Assets</t>
  </si>
  <si>
    <t>Average Inventory</t>
  </si>
  <si>
    <t>PPS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</si>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</sst>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1" applyNumberFormat="1" applyFont="1" applyBorder="1"/>
    <xf numFmtId="164" fontId="1" fillId="0" borderId="0" xfId="1" applyNumberFormat="1" applyFont="1" applyBorder="1"/>
    <xf numFmtId="164" fontId="0" fillId="0" borderId="3" xfId="1" applyNumberFormat="1" applyFont="1" applyBorder="1"/>
    <xf numFmtId="164" fontId="2" fillId="0" borderId="3" xfId="1" applyNumberFormat="1" applyFont="1" applyBorder="1"/>
    <xf numFmtId="0" fontId="0" fillId="0" borderId="0" xfId="0" applyAlignment="1">
      <alignment horizontal="left"/>
    </xf>
    <xf numFmtId="164" fontId="0" fillId="0" borderId="0" xfId="1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 indent="1"/>
    </xf>
    <xf numFmtId="164" fontId="0" fillId="0" borderId="2" xfId="1" applyNumberFormat="1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/>
    <xf numFmtId="164" fontId="0" fillId="0" borderId="4" xfId="1" applyNumberFormat="1" applyFont="1" applyBorder="1"/>
    <xf numFmtId="10" fontId="0" fillId="0" borderId="0" xfId="3" applyNumberFormat="1" applyFont="1"/>
    <xf numFmtId="166" fontId="0" fillId="0" borderId="0" xfId="0" applyNumberFormat="1"/>
    <xf numFmtId="2" fontId="0" fillId="0" borderId="0" xfId="0" applyNumberFormat="1"/>
    <xf numFmtId="167" fontId="0" fillId="0" borderId="0" xfId="3" applyNumberFormat="1" applyFont="1"/>
    <xf numFmtId="14" fontId="0" fillId="0" borderId="0" xfId="0" applyNumberFormat="1"/>
    <xf numFmtId="44" fontId="0" fillId="0" borderId="0" xfId="0" applyNumberFormat="1"/>
    <xf numFmtId="1" fontId="0" fillId="0" borderId="0" xfId="0" applyNumberFormat="1"/>
    <xf numFmtId="43" fontId="0" fillId="0" borderId="0" xfId="1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62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60</v>
      </c>
    </row>
    <row r="8" spans="1:1" ht="16" x14ac:dyDescent="0.2">
      <c r="A8" s="2" t="s">
        <v>61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workbookViewId="0">
      <selection activeCell="A37" sqref="A37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80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47" t="s">
        <v>10</v>
      </c>
      <c r="B2" s="47"/>
      <c r="C2" s="47"/>
      <c r="D2" s="47"/>
    </row>
    <row r="3" spans="1:10" x14ac:dyDescent="0.2">
      <c r="B3" s="46" t="s">
        <v>56</v>
      </c>
      <c r="C3" s="46"/>
      <c r="D3" s="46"/>
    </row>
    <row r="4" spans="1:10" x14ac:dyDescent="0.2">
      <c r="B4" s="9">
        <v>2022</v>
      </c>
      <c r="C4" s="9">
        <v>2021</v>
      </c>
      <c r="D4" s="9">
        <v>2020</v>
      </c>
    </row>
    <row r="5" spans="1:10" x14ac:dyDescent="0.2">
      <c r="A5" t="s">
        <v>63</v>
      </c>
    </row>
    <row r="6" spans="1:10" x14ac:dyDescent="0.2">
      <c r="A6" s="1" t="s">
        <v>64</v>
      </c>
      <c r="B6" s="10">
        <v>242901</v>
      </c>
      <c r="C6" s="10">
        <v>241787</v>
      </c>
      <c r="D6" s="10">
        <v>215915</v>
      </c>
    </row>
    <row r="7" spans="1:10" x14ac:dyDescent="0.2">
      <c r="A7" s="1" t="s">
        <v>65</v>
      </c>
      <c r="B7" s="10">
        <v>271082</v>
      </c>
      <c r="C7" s="10">
        <v>228035</v>
      </c>
      <c r="D7" s="10">
        <v>170149</v>
      </c>
    </row>
    <row r="8" spans="1:10" x14ac:dyDescent="0.2">
      <c r="A8" s="11" t="s">
        <v>66</v>
      </c>
      <c r="B8" s="12">
        <f>SUM(B6:B7)</f>
        <v>513983</v>
      </c>
      <c r="C8" s="12">
        <f t="shared" ref="C8:D8" si="0">SUM(C6:C7)</f>
        <v>469822</v>
      </c>
      <c r="D8" s="12">
        <f t="shared" si="0"/>
        <v>386064</v>
      </c>
    </row>
    <row r="9" spans="1:10" x14ac:dyDescent="0.2">
      <c r="A9" s="11" t="s">
        <v>67</v>
      </c>
      <c r="B9" s="12">
        <v>288831</v>
      </c>
      <c r="C9" s="12">
        <v>272344</v>
      </c>
      <c r="D9" s="12">
        <v>233307</v>
      </c>
    </row>
    <row r="10" spans="1:10" x14ac:dyDescent="0.2">
      <c r="A10" s="11" t="s">
        <v>11</v>
      </c>
      <c r="B10" s="12">
        <f>B8-B9</f>
        <v>225152</v>
      </c>
      <c r="C10" s="12">
        <f t="shared" ref="C10:D10" si="1">C8-C9</f>
        <v>197478</v>
      </c>
      <c r="D10" s="12">
        <f t="shared" si="1"/>
        <v>152757</v>
      </c>
    </row>
    <row r="11" spans="1:10" x14ac:dyDescent="0.2">
      <c r="A11" t="s">
        <v>68</v>
      </c>
      <c r="B11" s="10"/>
      <c r="C11" s="10"/>
      <c r="D11" s="10"/>
    </row>
    <row r="12" spans="1:10" x14ac:dyDescent="0.2">
      <c r="A12" s="1" t="s">
        <v>78</v>
      </c>
      <c r="B12" s="10">
        <v>84299</v>
      </c>
      <c r="C12" s="10">
        <v>75111</v>
      </c>
      <c r="D12" s="10">
        <v>58517</v>
      </c>
    </row>
    <row r="13" spans="1:10" x14ac:dyDescent="0.2">
      <c r="A13" s="1" t="s">
        <v>79</v>
      </c>
      <c r="B13" s="10">
        <v>73213</v>
      </c>
      <c r="C13" s="10">
        <v>56052</v>
      </c>
      <c r="D13" s="10">
        <v>42740</v>
      </c>
    </row>
    <row r="14" spans="1:10" x14ac:dyDescent="0.2">
      <c r="A14" s="1" t="s">
        <v>81</v>
      </c>
      <c r="B14" s="10">
        <v>42238</v>
      </c>
      <c r="C14" s="10">
        <v>32551</v>
      </c>
      <c r="D14" s="10">
        <v>22008</v>
      </c>
    </row>
    <row r="15" spans="1:10" x14ac:dyDescent="0.2">
      <c r="A15" s="1" t="s">
        <v>82</v>
      </c>
      <c r="B15" s="10">
        <v>11891</v>
      </c>
      <c r="C15" s="10">
        <v>8823</v>
      </c>
      <c r="D15" s="10">
        <v>6668</v>
      </c>
    </row>
    <row r="16" spans="1:10" x14ac:dyDescent="0.2">
      <c r="A16" s="1" t="s">
        <v>83</v>
      </c>
      <c r="B16" s="10">
        <v>1263</v>
      </c>
      <c r="C16" s="10">
        <v>62</v>
      </c>
      <c r="D16" s="10">
        <v>-75</v>
      </c>
    </row>
    <row r="17" spans="1:4" x14ac:dyDescent="0.2">
      <c r="A17" s="11" t="s">
        <v>69</v>
      </c>
      <c r="B17" s="12">
        <f>SUM(B12:B16)</f>
        <v>212904</v>
      </c>
      <c r="C17" s="12">
        <f t="shared" ref="C17:D17" si="2">SUM(C12:C16)</f>
        <v>172599</v>
      </c>
      <c r="D17" s="12">
        <f t="shared" si="2"/>
        <v>129858</v>
      </c>
    </row>
    <row r="18" spans="1:4" s="11" customFormat="1" x14ac:dyDescent="0.2">
      <c r="A18" s="11" t="s">
        <v>70</v>
      </c>
      <c r="B18" s="12">
        <f>B10-B17</f>
        <v>12248</v>
      </c>
      <c r="C18" s="12">
        <f t="shared" ref="C18:D18" si="3">C10-C17</f>
        <v>24879</v>
      </c>
      <c r="D18" s="12">
        <f t="shared" si="3"/>
        <v>22899</v>
      </c>
    </row>
    <row r="19" spans="1:4" x14ac:dyDescent="0.2">
      <c r="A19" t="s">
        <v>84</v>
      </c>
      <c r="B19" s="25">
        <v>989</v>
      </c>
      <c r="C19" s="25">
        <v>448</v>
      </c>
      <c r="D19" s="25">
        <v>555</v>
      </c>
    </row>
    <row r="20" spans="1:4" x14ac:dyDescent="0.2">
      <c r="A20" t="s">
        <v>85</v>
      </c>
      <c r="B20" s="25">
        <v>-2367</v>
      </c>
      <c r="C20" s="25">
        <v>-1809</v>
      </c>
      <c r="D20" s="25">
        <v>-1647</v>
      </c>
    </row>
    <row r="21" spans="1:4" x14ac:dyDescent="0.2">
      <c r="A21" t="s">
        <v>71</v>
      </c>
      <c r="B21" s="10">
        <v>-16806</v>
      </c>
      <c r="C21" s="10">
        <v>14633</v>
      </c>
      <c r="D21" s="10">
        <v>2371</v>
      </c>
    </row>
    <row r="22" spans="1:4" x14ac:dyDescent="0.2">
      <c r="A22" s="9" t="s">
        <v>86</v>
      </c>
      <c r="B22" s="17">
        <f>SUM(B19:B21)</f>
        <v>-18184</v>
      </c>
      <c r="C22" s="17">
        <f t="shared" ref="C22:D22" si="4">SUM(C19:C21)</f>
        <v>13272</v>
      </c>
      <c r="D22" s="17">
        <f t="shared" si="4"/>
        <v>1279</v>
      </c>
    </row>
    <row r="23" spans="1:4" x14ac:dyDescent="0.2">
      <c r="A23" s="11" t="s">
        <v>72</v>
      </c>
      <c r="B23" s="12">
        <f>B18+B22</f>
        <v>-5936</v>
      </c>
      <c r="C23" s="12">
        <f t="shared" ref="C23:D23" si="5">C18+C22</f>
        <v>38151</v>
      </c>
      <c r="D23" s="12">
        <f t="shared" si="5"/>
        <v>24178</v>
      </c>
    </row>
    <row r="24" spans="1:4" x14ac:dyDescent="0.2">
      <c r="A24" t="s">
        <v>87</v>
      </c>
      <c r="B24" s="25">
        <v>3217</v>
      </c>
      <c r="C24" s="25">
        <v>-4791</v>
      </c>
      <c r="D24" s="25">
        <v>-2863</v>
      </c>
    </row>
    <row r="25" spans="1:4" x14ac:dyDescent="0.2">
      <c r="A25" t="s">
        <v>88</v>
      </c>
      <c r="B25" s="10">
        <v>-3</v>
      </c>
      <c r="C25" s="10">
        <v>4</v>
      </c>
      <c r="D25" s="10">
        <v>16</v>
      </c>
    </row>
    <row r="26" spans="1:4" ht="16" thickBot="1" x14ac:dyDescent="0.25">
      <c r="A26" s="13" t="s">
        <v>89</v>
      </c>
      <c r="B26" s="14">
        <f>SUM(B23:B25)</f>
        <v>-2722</v>
      </c>
      <c r="C26" s="14">
        <f t="shared" ref="C26:D26" si="6">SUM(C23:C25)</f>
        <v>33364</v>
      </c>
      <c r="D26" s="14">
        <f t="shared" si="6"/>
        <v>21331</v>
      </c>
    </row>
    <row r="27" spans="1:4" ht="16" thickTop="1" x14ac:dyDescent="0.2">
      <c r="A27" t="s">
        <v>74</v>
      </c>
    </row>
    <row r="28" spans="1:4" x14ac:dyDescent="0.2">
      <c r="A28" s="1" t="s">
        <v>75</v>
      </c>
      <c r="B28" s="15">
        <v>-0.27</v>
      </c>
      <c r="C28" s="15">
        <v>3.3</v>
      </c>
      <c r="D28" s="15">
        <v>2.13</v>
      </c>
    </row>
    <row r="29" spans="1:4" x14ac:dyDescent="0.2">
      <c r="A29" s="1" t="s">
        <v>76</v>
      </c>
      <c r="B29" s="15">
        <v>-0.27</v>
      </c>
      <c r="C29" s="15">
        <v>3.24</v>
      </c>
      <c r="D29" s="15">
        <v>2.09</v>
      </c>
    </row>
    <row r="30" spans="1:4" x14ac:dyDescent="0.2">
      <c r="A30" t="s">
        <v>77</v>
      </c>
    </row>
    <row r="31" spans="1:4" x14ac:dyDescent="0.2">
      <c r="A31" s="1" t="s">
        <v>75</v>
      </c>
      <c r="B31" s="16">
        <v>10189</v>
      </c>
      <c r="C31" s="16">
        <v>10117</v>
      </c>
      <c r="D31" s="16">
        <v>10005</v>
      </c>
    </row>
    <row r="32" spans="1:4" x14ac:dyDescent="0.2">
      <c r="A32" s="1" t="s">
        <v>76</v>
      </c>
      <c r="B32" s="16">
        <v>10189</v>
      </c>
      <c r="C32" s="16">
        <v>10296</v>
      </c>
      <c r="D32" s="16">
        <v>10198</v>
      </c>
    </row>
    <row r="35" spans="1:4" x14ac:dyDescent="0.2">
      <c r="A35" s="47" t="s">
        <v>12</v>
      </c>
      <c r="B35" s="47"/>
      <c r="C35" s="47"/>
      <c r="D35" s="47"/>
    </row>
    <row r="36" spans="1:4" x14ac:dyDescent="0.2">
      <c r="B36" s="46" t="s">
        <v>57</v>
      </c>
      <c r="C36" s="46"/>
      <c r="D36" s="46"/>
    </row>
    <row r="37" spans="1:4" x14ac:dyDescent="0.2">
      <c r="B37" s="9">
        <v>2022</v>
      </c>
      <c r="C37" s="9">
        <v>2021</v>
      </c>
      <c r="D37" s="9">
        <v>2020</v>
      </c>
    </row>
    <row r="38" spans="1:4" x14ac:dyDescent="0.2">
      <c r="A38" s="9" t="s">
        <v>90</v>
      </c>
    </row>
    <row r="39" spans="1:4" x14ac:dyDescent="0.2">
      <c r="A39" t="s">
        <v>91</v>
      </c>
    </row>
    <row r="40" spans="1:4" x14ac:dyDescent="0.2">
      <c r="A40" s="1" t="s">
        <v>92</v>
      </c>
      <c r="B40" s="10">
        <v>53888</v>
      </c>
      <c r="C40" s="10">
        <v>36220</v>
      </c>
      <c r="D40" s="10">
        <v>42122</v>
      </c>
    </row>
    <row r="41" spans="1:4" x14ac:dyDescent="0.2">
      <c r="A41" s="1" t="s">
        <v>93</v>
      </c>
      <c r="B41" s="10">
        <v>16138</v>
      </c>
      <c r="C41" s="10">
        <v>59829</v>
      </c>
      <c r="D41" s="10">
        <v>42274</v>
      </c>
    </row>
    <row r="42" spans="1:4" x14ac:dyDescent="0.2">
      <c r="A42" s="1" t="s">
        <v>94</v>
      </c>
      <c r="B42" s="10">
        <v>34405</v>
      </c>
      <c r="C42" s="10">
        <v>32640</v>
      </c>
      <c r="D42" s="10">
        <v>23795</v>
      </c>
    </row>
    <row r="43" spans="1:4" x14ac:dyDescent="0.2">
      <c r="A43" s="1" t="s">
        <v>95</v>
      </c>
      <c r="B43" s="10">
        <v>42360</v>
      </c>
      <c r="C43" s="10">
        <v>32891</v>
      </c>
      <c r="D43" s="10">
        <v>24542</v>
      </c>
    </row>
    <row r="44" spans="1:4" x14ac:dyDescent="0.2">
      <c r="A44" s="31" t="s">
        <v>96</v>
      </c>
      <c r="B44" s="27">
        <f>SUM(B40:B43)</f>
        <v>146791</v>
      </c>
      <c r="C44" s="27">
        <f>SUM(C40:C43)</f>
        <v>161580</v>
      </c>
      <c r="D44" s="27">
        <f>SUM(D40:D43)</f>
        <v>132733</v>
      </c>
    </row>
    <row r="45" spans="1:4" x14ac:dyDescent="0.2">
      <c r="A45" s="1" t="s">
        <v>97</v>
      </c>
      <c r="B45" s="10">
        <v>186715</v>
      </c>
      <c r="C45" s="10">
        <v>160281</v>
      </c>
      <c r="D45" s="10">
        <v>113114</v>
      </c>
    </row>
    <row r="46" spans="1:4" x14ac:dyDescent="0.2">
      <c r="A46" s="1" t="s">
        <v>98</v>
      </c>
      <c r="B46" s="10">
        <v>66123</v>
      </c>
      <c r="C46" s="10">
        <v>56082</v>
      </c>
      <c r="D46" s="10">
        <v>37553</v>
      </c>
    </row>
    <row r="47" spans="1:4" x14ac:dyDescent="0.2">
      <c r="A47" s="1" t="s">
        <v>99</v>
      </c>
      <c r="B47" s="10">
        <v>20288</v>
      </c>
      <c r="C47" s="10">
        <v>15371</v>
      </c>
      <c r="D47" s="10">
        <v>15017</v>
      </c>
    </row>
    <row r="48" spans="1:4" x14ac:dyDescent="0.2">
      <c r="A48" s="1" t="s">
        <v>100</v>
      </c>
      <c r="B48" s="10">
        <v>42758</v>
      </c>
      <c r="C48" s="10">
        <v>27235</v>
      </c>
      <c r="D48" s="10">
        <v>22778</v>
      </c>
    </row>
    <row r="49" spans="1:4" x14ac:dyDescent="0.2">
      <c r="A49" s="11" t="s">
        <v>101</v>
      </c>
      <c r="B49" s="12">
        <f>SUM(B44:B48)</f>
        <v>462675</v>
      </c>
      <c r="C49" s="12">
        <f>SUM(C44:C48)</f>
        <v>420549</v>
      </c>
      <c r="D49" s="12">
        <f>SUM(D44:D48)</f>
        <v>321195</v>
      </c>
    </row>
    <row r="50" spans="1:4" x14ac:dyDescent="0.2">
      <c r="B50" s="10"/>
      <c r="C50" s="10"/>
      <c r="D50" s="10"/>
    </row>
    <row r="51" spans="1:4" x14ac:dyDescent="0.2">
      <c r="A51" s="23" t="s">
        <v>102</v>
      </c>
      <c r="B51" s="10"/>
      <c r="C51" s="10"/>
      <c r="D51" s="10"/>
    </row>
    <row r="52" spans="1:4" x14ac:dyDescent="0.2">
      <c r="A52" s="28" t="s">
        <v>103</v>
      </c>
      <c r="B52" s="10"/>
      <c r="C52" s="10"/>
      <c r="D52" s="10"/>
    </row>
    <row r="53" spans="1:4" x14ac:dyDescent="0.2">
      <c r="A53" s="1" t="s">
        <v>104</v>
      </c>
      <c r="B53" s="10">
        <v>79600</v>
      </c>
      <c r="C53" s="10">
        <v>78664</v>
      </c>
      <c r="D53" s="10">
        <v>72539</v>
      </c>
    </row>
    <row r="54" spans="1:4" x14ac:dyDescent="0.2">
      <c r="A54" s="1" t="s">
        <v>105</v>
      </c>
      <c r="B54" s="10">
        <v>62566</v>
      </c>
      <c r="C54" s="10">
        <v>51775</v>
      </c>
      <c r="D54" s="10">
        <v>44138</v>
      </c>
    </row>
    <row r="55" spans="1:4" x14ac:dyDescent="0.2">
      <c r="A55" s="1" t="s">
        <v>106</v>
      </c>
      <c r="B55" s="29">
        <v>13227</v>
      </c>
      <c r="C55" s="29">
        <v>11827</v>
      </c>
      <c r="D55" s="29">
        <v>9708</v>
      </c>
    </row>
    <row r="56" spans="1:4" x14ac:dyDescent="0.2">
      <c r="A56" s="30" t="s">
        <v>107</v>
      </c>
      <c r="B56" s="27">
        <f>SUM(B53:B55)</f>
        <v>155393</v>
      </c>
      <c r="C56" s="27">
        <f>SUM(C53:C55)</f>
        <v>142266</v>
      </c>
      <c r="D56" s="27">
        <f>SUM(D53:D55)</f>
        <v>126385</v>
      </c>
    </row>
    <row r="57" spans="1:4" x14ac:dyDescent="0.2">
      <c r="A57" s="1" t="s">
        <v>108</v>
      </c>
      <c r="B57" s="25">
        <v>72968</v>
      </c>
      <c r="C57" s="25">
        <v>67651</v>
      </c>
      <c r="D57" s="25">
        <v>52573</v>
      </c>
    </row>
    <row r="58" spans="1:4" x14ac:dyDescent="0.2">
      <c r="A58" s="1" t="s">
        <v>109</v>
      </c>
      <c r="B58" s="25">
        <v>67150</v>
      </c>
      <c r="C58" s="25">
        <v>48744</v>
      </c>
      <c r="D58" s="25">
        <v>31816</v>
      </c>
    </row>
    <row r="59" spans="1:4" x14ac:dyDescent="0.2">
      <c r="A59" s="1" t="s">
        <v>110</v>
      </c>
      <c r="B59" s="25">
        <v>21121</v>
      </c>
      <c r="C59" s="25">
        <v>23643</v>
      </c>
      <c r="D59" s="25">
        <v>17017</v>
      </c>
    </row>
    <row r="60" spans="1:4" x14ac:dyDescent="0.2">
      <c r="A60" s="32" t="s">
        <v>111</v>
      </c>
      <c r="B60" s="27"/>
      <c r="C60" s="27"/>
      <c r="D60" s="27"/>
    </row>
    <row r="61" spans="1:4" x14ac:dyDescent="0.2">
      <c r="A61" s="23" t="s">
        <v>121</v>
      </c>
      <c r="B61" s="24">
        <f>SUM(B56:B60)</f>
        <v>316632</v>
      </c>
      <c r="C61" s="24">
        <f>SUM(C56:C60)</f>
        <v>282304</v>
      </c>
      <c r="D61" s="24">
        <f>SUM(D56:D60)</f>
        <v>227791</v>
      </c>
    </row>
    <row r="62" spans="1:4" x14ac:dyDescent="0.2">
      <c r="A62" s="9" t="s">
        <v>112</v>
      </c>
      <c r="B62" s="24"/>
      <c r="C62" s="24"/>
      <c r="D62" s="24"/>
    </row>
    <row r="63" spans="1:4" x14ac:dyDescent="0.2">
      <c r="A63" s="1" t="s">
        <v>113</v>
      </c>
      <c r="B63" s="10">
        <v>0</v>
      </c>
      <c r="C63" s="10">
        <v>0</v>
      </c>
      <c r="D63" s="10">
        <v>0</v>
      </c>
    </row>
    <row r="64" spans="1:4" x14ac:dyDescent="0.2">
      <c r="A64" s="1" t="s">
        <v>114</v>
      </c>
      <c r="B64" s="10">
        <v>108</v>
      </c>
      <c r="C64" s="10">
        <v>106</v>
      </c>
      <c r="D64">
        <v>5</v>
      </c>
    </row>
    <row r="65" spans="1:4" x14ac:dyDescent="0.2">
      <c r="A65" s="1" t="s">
        <v>115</v>
      </c>
      <c r="B65" s="10">
        <v>-7837</v>
      </c>
      <c r="C65" s="10">
        <v>-1837</v>
      </c>
      <c r="D65" s="10">
        <v>-1837</v>
      </c>
    </row>
    <row r="66" spans="1:4" x14ac:dyDescent="0.2">
      <c r="A66" s="1" t="s">
        <v>116</v>
      </c>
      <c r="B66" s="10">
        <v>75066</v>
      </c>
      <c r="C66" s="10">
        <v>55437</v>
      </c>
      <c r="D66" s="10">
        <v>42865</v>
      </c>
    </row>
    <row r="67" spans="1:4" x14ac:dyDescent="0.2">
      <c r="A67" s="1" t="s">
        <v>117</v>
      </c>
      <c r="B67" s="10">
        <v>-4487</v>
      </c>
      <c r="C67" s="10">
        <v>-1376</v>
      </c>
      <c r="D67" s="10">
        <v>-180</v>
      </c>
    </row>
    <row r="68" spans="1:4" x14ac:dyDescent="0.2">
      <c r="A68" s="1" t="s">
        <v>118</v>
      </c>
      <c r="B68" s="10">
        <v>83193</v>
      </c>
      <c r="C68" s="10">
        <v>85915</v>
      </c>
      <c r="D68" s="10">
        <v>52551</v>
      </c>
    </row>
    <row r="69" spans="1:4" ht="16" thickBot="1" x14ac:dyDescent="0.25">
      <c r="A69" s="34" t="s">
        <v>119</v>
      </c>
      <c r="B69" s="14">
        <f>SUM(B63:B68)</f>
        <v>146043</v>
      </c>
      <c r="C69" s="14">
        <f>SUM(C63:C68)</f>
        <v>138245</v>
      </c>
      <c r="D69" s="14">
        <f>SUM(D63:D68)</f>
        <v>93404</v>
      </c>
    </row>
    <row r="70" spans="1:4" ht="16" thickTop="1" x14ac:dyDescent="0.2">
      <c r="A70" s="9" t="s">
        <v>120</v>
      </c>
      <c r="B70" s="24">
        <f>B69+B61</f>
        <v>462675</v>
      </c>
      <c r="C70" s="24">
        <f>C69+C61</f>
        <v>420549</v>
      </c>
      <c r="D70" s="24">
        <f>D69+D61</f>
        <v>321195</v>
      </c>
    </row>
    <row r="71" spans="1:4" x14ac:dyDescent="0.2">
      <c r="B71" s="10"/>
      <c r="C71" s="10"/>
      <c r="D71" s="10"/>
    </row>
    <row r="73" spans="1:4" x14ac:dyDescent="0.2">
      <c r="A73" s="47" t="s">
        <v>13</v>
      </c>
      <c r="B73" s="47"/>
      <c r="C73" s="47"/>
      <c r="D73" s="47"/>
    </row>
    <row r="74" spans="1:4" x14ac:dyDescent="0.2">
      <c r="B74" s="46" t="s">
        <v>56</v>
      </c>
      <c r="C74" s="46"/>
      <c r="D74" s="46"/>
    </row>
    <row r="75" spans="1:4" x14ac:dyDescent="0.2">
      <c r="B75" s="9">
        <v>2022</v>
      </c>
      <c r="C75" s="9">
        <v>2021</v>
      </c>
      <c r="D75" s="9">
        <v>2020</v>
      </c>
    </row>
    <row r="76" spans="1:4" x14ac:dyDescent="0.2">
      <c r="A76" s="9" t="s">
        <v>122</v>
      </c>
      <c r="B76">
        <v>36477</v>
      </c>
      <c r="C76">
        <v>42377</v>
      </c>
      <c r="D76">
        <v>36410</v>
      </c>
    </row>
    <row r="77" spans="1:4" x14ac:dyDescent="0.2">
      <c r="A77" t="s">
        <v>123</v>
      </c>
      <c r="B77" s="17"/>
      <c r="C77" s="17"/>
      <c r="D77" s="17"/>
    </row>
    <row r="78" spans="1:4" x14ac:dyDescent="0.2">
      <c r="A78" s="18" t="s">
        <v>73</v>
      </c>
      <c r="B78" s="10">
        <v>-2722</v>
      </c>
      <c r="C78" s="10">
        <v>33364</v>
      </c>
      <c r="D78" s="10">
        <v>21331</v>
      </c>
    </row>
    <row r="79" spans="1:4" x14ac:dyDescent="0.2">
      <c r="A79" s="1" t="s">
        <v>124</v>
      </c>
      <c r="B79" s="17"/>
      <c r="C79" s="17"/>
      <c r="D79" s="17"/>
    </row>
    <row r="80" spans="1:4" x14ac:dyDescent="0.2">
      <c r="A80" s="19" t="s">
        <v>125</v>
      </c>
      <c r="B80" s="10">
        <v>41921</v>
      </c>
      <c r="C80" s="10">
        <v>34433</v>
      </c>
      <c r="D80" s="10">
        <v>25180</v>
      </c>
    </row>
    <row r="81" spans="1:4" x14ac:dyDescent="0.2">
      <c r="A81" s="19" t="s">
        <v>126</v>
      </c>
      <c r="B81" s="10">
        <v>19621</v>
      </c>
      <c r="C81" s="10">
        <v>12757</v>
      </c>
      <c r="D81" s="10">
        <v>9208</v>
      </c>
    </row>
    <row r="82" spans="1:4" x14ac:dyDescent="0.2">
      <c r="A82" s="19" t="s">
        <v>127</v>
      </c>
      <c r="B82" s="10">
        <v>16966</v>
      </c>
      <c r="C82" s="10">
        <v>-14306</v>
      </c>
      <c r="D82" s="10">
        <v>-2582</v>
      </c>
    </row>
    <row r="83" spans="1:4" x14ac:dyDescent="0.2">
      <c r="A83" s="19" t="s">
        <v>128</v>
      </c>
      <c r="B83" s="10">
        <v>-8148</v>
      </c>
      <c r="C83" s="10">
        <v>-310</v>
      </c>
      <c r="D83" s="10">
        <v>-554</v>
      </c>
    </row>
    <row r="84" spans="1:4" x14ac:dyDescent="0.2">
      <c r="A84" t="s">
        <v>129</v>
      </c>
      <c r="B84" s="10"/>
      <c r="C84" s="10"/>
      <c r="D84" s="10"/>
    </row>
    <row r="85" spans="1:4" x14ac:dyDescent="0.2">
      <c r="A85" s="1" t="s">
        <v>147</v>
      </c>
      <c r="B85" s="10">
        <v>-2592</v>
      </c>
      <c r="C85" s="10">
        <v>-9487</v>
      </c>
      <c r="D85" s="10">
        <v>-2849</v>
      </c>
    </row>
    <row r="86" spans="1:4" x14ac:dyDescent="0.2">
      <c r="A86" s="1" t="s">
        <v>130</v>
      </c>
      <c r="B86" s="10">
        <v>-21897</v>
      </c>
      <c r="C86" s="10">
        <v>-18163</v>
      </c>
      <c r="D86" s="10">
        <v>-8169</v>
      </c>
    </row>
    <row r="87" spans="1:4" x14ac:dyDescent="0.2">
      <c r="A87" s="1" t="s">
        <v>131</v>
      </c>
      <c r="B87" s="10">
        <v>2945</v>
      </c>
      <c r="C87" s="10">
        <v>3602</v>
      </c>
      <c r="D87" s="10">
        <v>17480</v>
      </c>
    </row>
    <row r="88" spans="1:4" x14ac:dyDescent="0.2">
      <c r="A88" s="1" t="s">
        <v>132</v>
      </c>
      <c r="B88" s="10">
        <v>-1558</v>
      </c>
      <c r="C88" s="10">
        <v>2123</v>
      </c>
      <c r="D88" s="10">
        <v>5754</v>
      </c>
    </row>
    <row r="89" spans="1:4" x14ac:dyDescent="0.2">
      <c r="A89" s="32" t="s">
        <v>106</v>
      </c>
      <c r="B89" s="26">
        <v>2216</v>
      </c>
      <c r="C89" s="26">
        <v>2314</v>
      </c>
      <c r="D89" s="26">
        <v>1265</v>
      </c>
    </row>
    <row r="90" spans="1:4" x14ac:dyDescent="0.2">
      <c r="A90" s="9" t="s">
        <v>133</v>
      </c>
      <c r="B90" s="17">
        <f>SUM(B78:B89)</f>
        <v>46752</v>
      </c>
      <c r="C90" s="17">
        <f t="shared" ref="C90:D90" si="7">SUM(C78:C89)</f>
        <v>46327</v>
      </c>
      <c r="D90" s="17">
        <f t="shared" si="7"/>
        <v>66064</v>
      </c>
    </row>
    <row r="91" spans="1:4" x14ac:dyDescent="0.2">
      <c r="A91" s="9" t="s">
        <v>134</v>
      </c>
      <c r="B91" s="10"/>
      <c r="C91" s="10"/>
      <c r="D91" s="10"/>
    </row>
    <row r="92" spans="1:4" x14ac:dyDescent="0.2">
      <c r="A92" s="1" t="s">
        <v>148</v>
      </c>
      <c r="B92" s="29">
        <v>-63645</v>
      </c>
      <c r="C92" s="29">
        <v>-61053</v>
      </c>
      <c r="D92" s="29">
        <v>-40140</v>
      </c>
    </row>
    <row r="93" spans="1:4" x14ac:dyDescent="0.2">
      <c r="A93" s="1" t="s">
        <v>136</v>
      </c>
      <c r="B93" s="24">
        <v>5324</v>
      </c>
      <c r="C93" s="24">
        <v>5657</v>
      </c>
      <c r="D93" s="24">
        <v>5096</v>
      </c>
    </row>
    <row r="94" spans="1:4" x14ac:dyDescent="0.2">
      <c r="A94" s="1" t="s">
        <v>137</v>
      </c>
      <c r="B94" s="10">
        <v>-8316</v>
      </c>
      <c r="C94" s="10">
        <v>-1985</v>
      </c>
      <c r="D94" s="10">
        <v>-2325</v>
      </c>
    </row>
    <row r="95" spans="1:4" x14ac:dyDescent="0.2">
      <c r="A95" s="1" t="s">
        <v>149</v>
      </c>
      <c r="B95" s="10">
        <v>31601</v>
      </c>
      <c r="C95" s="10">
        <v>59384</v>
      </c>
      <c r="D95" s="10">
        <v>50237</v>
      </c>
    </row>
    <row r="96" spans="1:4" x14ac:dyDescent="0.2">
      <c r="A96" s="32" t="s">
        <v>135</v>
      </c>
      <c r="B96" s="26">
        <v>-2565</v>
      </c>
      <c r="C96" s="26">
        <v>-60157</v>
      </c>
      <c r="D96" s="26">
        <v>-72479</v>
      </c>
    </row>
    <row r="97" spans="1:4" x14ac:dyDescent="0.2">
      <c r="A97" s="9" t="s">
        <v>138</v>
      </c>
      <c r="B97" s="10">
        <f>SUM(B92:B96)</f>
        <v>-37601</v>
      </c>
      <c r="C97" s="10">
        <f t="shared" ref="C97:D97" si="8">SUM(C92:C96)</f>
        <v>-58154</v>
      </c>
      <c r="D97" s="10">
        <f t="shared" si="8"/>
        <v>-59611</v>
      </c>
    </row>
    <row r="98" spans="1:4" x14ac:dyDescent="0.2">
      <c r="A98" s="9" t="s">
        <v>139</v>
      </c>
      <c r="B98" s="10"/>
      <c r="C98" s="10"/>
      <c r="D98" s="10"/>
    </row>
    <row r="99" spans="1:4" x14ac:dyDescent="0.2">
      <c r="A99" s="1" t="s">
        <v>150</v>
      </c>
      <c r="B99" s="10">
        <v>-6000</v>
      </c>
      <c r="C99" s="10"/>
      <c r="D99" s="10"/>
    </row>
    <row r="100" spans="1:4" x14ac:dyDescent="0.2">
      <c r="A100" s="1" t="s">
        <v>142</v>
      </c>
      <c r="B100" s="10">
        <v>41553</v>
      </c>
      <c r="C100" s="10">
        <v>7956</v>
      </c>
      <c r="D100" s="10">
        <v>6796</v>
      </c>
    </row>
    <row r="101" spans="1:4" x14ac:dyDescent="0.2">
      <c r="A101" s="1" t="s">
        <v>141</v>
      </c>
      <c r="B101" s="10">
        <v>-37554</v>
      </c>
      <c r="C101" s="10">
        <v>-7753</v>
      </c>
      <c r="D101" s="10">
        <v>-6177</v>
      </c>
    </row>
    <row r="102" spans="1:4" x14ac:dyDescent="0.2">
      <c r="A102" s="1" t="s">
        <v>140</v>
      </c>
      <c r="B102" s="29">
        <v>21166</v>
      </c>
      <c r="C102" s="29">
        <v>19003</v>
      </c>
      <c r="D102" s="29">
        <v>10525</v>
      </c>
    </row>
    <row r="103" spans="1:4" x14ac:dyDescent="0.2">
      <c r="A103" s="1" t="s">
        <v>151</v>
      </c>
      <c r="B103" s="24">
        <v>-1258</v>
      </c>
      <c r="C103" s="24">
        <v>-1590</v>
      </c>
      <c r="D103" s="24">
        <v>-1553</v>
      </c>
    </row>
    <row r="104" spans="1:4" x14ac:dyDescent="0.2">
      <c r="A104" s="1" t="s">
        <v>152</v>
      </c>
      <c r="B104" s="10">
        <v>-7941</v>
      </c>
      <c r="C104" s="10">
        <v>-11163</v>
      </c>
      <c r="D104" s="10">
        <v>-10642</v>
      </c>
    </row>
    <row r="105" spans="1:4" x14ac:dyDescent="0.2">
      <c r="A105" s="32" t="s">
        <v>153</v>
      </c>
      <c r="B105" s="26">
        <v>-248</v>
      </c>
      <c r="C105" s="26">
        <v>-162</v>
      </c>
      <c r="D105" s="26">
        <v>-53</v>
      </c>
    </row>
    <row r="106" spans="1:4" x14ac:dyDescent="0.2">
      <c r="A106" s="35" t="s">
        <v>143</v>
      </c>
      <c r="B106" s="36">
        <f>SUM(B99:B105)</f>
        <v>9718</v>
      </c>
      <c r="C106" s="36">
        <f t="shared" ref="C106:D106" si="9">SUM(C99:C105)</f>
        <v>6291</v>
      </c>
      <c r="D106" s="36">
        <f t="shared" si="9"/>
        <v>-1104</v>
      </c>
    </row>
    <row r="107" spans="1:4" x14ac:dyDescent="0.2">
      <c r="A107" s="35" t="s">
        <v>144</v>
      </c>
      <c r="B107" s="36">
        <v>-1093</v>
      </c>
      <c r="C107" s="36">
        <v>-364</v>
      </c>
      <c r="D107" s="36">
        <v>618</v>
      </c>
    </row>
    <row r="108" spans="1:4" x14ac:dyDescent="0.2">
      <c r="A108" s="35" t="s">
        <v>145</v>
      </c>
      <c r="B108" s="36">
        <v>17776</v>
      </c>
      <c r="C108" s="36">
        <v>-5900</v>
      </c>
      <c r="D108" s="36">
        <v>5967</v>
      </c>
    </row>
    <row r="109" spans="1:4" ht="16" thickBot="1" x14ac:dyDescent="0.25">
      <c r="A109" s="13" t="s">
        <v>146</v>
      </c>
      <c r="B109" s="33">
        <v>54253</v>
      </c>
      <c r="C109" s="33">
        <v>36477</v>
      </c>
      <c r="D109" s="33">
        <v>42377</v>
      </c>
    </row>
    <row r="110" spans="1:4" ht="16" thickTop="1" x14ac:dyDescent="0.2">
      <c r="A110" s="1"/>
      <c r="B110" s="10"/>
      <c r="C110" s="10"/>
      <c r="D110" s="10"/>
    </row>
    <row r="111" spans="1:4" x14ac:dyDescent="0.2">
      <c r="A111" s="1" t="s">
        <v>154</v>
      </c>
      <c r="B111" s="10">
        <v>6035</v>
      </c>
      <c r="C111" s="10">
        <v>3688</v>
      </c>
      <c r="D111" s="10">
        <v>1713</v>
      </c>
    </row>
    <row r="112" spans="1:4" x14ac:dyDescent="0.2">
      <c r="A112" s="1" t="s">
        <v>155</v>
      </c>
      <c r="B112" s="10">
        <f>1561+374+207</f>
        <v>2142</v>
      </c>
      <c r="C112" s="10">
        <f>1098+521+153</f>
        <v>1772</v>
      </c>
      <c r="D112" s="10">
        <f>916+612+102</f>
        <v>1630</v>
      </c>
    </row>
    <row r="113" spans="1:4" x14ac:dyDescent="0.2">
      <c r="A113" s="9"/>
      <c r="B113" s="24"/>
      <c r="C113" s="24"/>
      <c r="D113" s="24"/>
    </row>
    <row r="114" spans="1:4" x14ac:dyDescent="0.2">
      <c r="A114" s="9"/>
      <c r="B114" s="24"/>
      <c r="C114" s="24"/>
      <c r="D114" s="24"/>
    </row>
    <row r="115" spans="1:4" x14ac:dyDescent="0.2">
      <c r="A115" s="9"/>
      <c r="B115" s="24"/>
      <c r="C115" s="24"/>
      <c r="D115" s="24"/>
    </row>
    <row r="116" spans="1:4" x14ac:dyDescent="0.2">
      <c r="B116" s="29"/>
      <c r="C116" s="29"/>
      <c r="D116" s="29"/>
    </row>
    <row r="117" spans="1:4" x14ac:dyDescent="0.2">
      <c r="B117" s="29"/>
      <c r="C117" s="29"/>
      <c r="D117" s="29"/>
    </row>
    <row r="118" spans="1:4" x14ac:dyDescent="0.2">
      <c r="B118" s="10"/>
      <c r="C118" s="10"/>
      <c r="D118" s="10"/>
    </row>
    <row r="119" spans="1:4" x14ac:dyDescent="0.2">
      <c r="B119" s="10"/>
      <c r="C119" s="10"/>
      <c r="D119" s="10"/>
    </row>
  </sheetData>
  <mergeCells count="6">
    <mergeCell ref="B74:D74"/>
    <mergeCell ref="A2:D2"/>
    <mergeCell ref="B3:D3"/>
    <mergeCell ref="A35:D35"/>
    <mergeCell ref="B36:D36"/>
    <mergeCell ref="A73:D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tabSelected="1" topLeftCell="A27" workbookViewId="0">
      <selection activeCell="F29" sqref="F29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4" width="14.6640625" bestFit="1" customWidth="1"/>
    <col min="5" max="5" width="14.1640625" bestFit="1" customWidth="1"/>
    <col min="6" max="6" width="45" customWidth="1"/>
    <col min="9" max="11" width="10.5" bestFit="1" customWidth="1"/>
  </cols>
  <sheetData>
    <row r="1" spans="1:10" ht="60" customHeight="1" x14ac:dyDescent="0.3">
      <c r="A1" s="7"/>
      <c r="B1" s="20" t="s">
        <v>58</v>
      </c>
      <c r="C1" s="21"/>
      <c r="D1" s="21"/>
      <c r="E1" s="21"/>
      <c r="F1" s="45" t="s">
        <v>160</v>
      </c>
      <c r="G1" s="21"/>
      <c r="H1" s="21"/>
      <c r="I1" s="21"/>
      <c r="J1" s="21"/>
    </row>
    <row r="2" spans="1:10" x14ac:dyDescent="0.2">
      <c r="C2" s="46" t="s">
        <v>59</v>
      </c>
      <c r="D2" s="46"/>
      <c r="E2" s="46"/>
    </row>
    <row r="3" spans="1:10" x14ac:dyDescent="0.2">
      <c r="C3" s="9">
        <v>2022</v>
      </c>
      <c r="D3" s="9">
        <v>2021</v>
      </c>
      <c r="E3" s="9">
        <v>2020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 s="39">
        <f>'Financial Statements'!B44/'Financial Statements'!B56</f>
        <v>0.9446435811136924</v>
      </c>
      <c r="D5" s="39">
        <f>'Financial Statements'!C44/'Financial Statements'!C56</f>
        <v>1.1357597739445826</v>
      </c>
      <c r="E5" s="39">
        <f>'Financial Statements'!D44/'Financial Statements'!D56</f>
        <v>1.0502274795268425</v>
      </c>
    </row>
    <row r="6" spans="1:10" x14ac:dyDescent="0.2">
      <c r="A6" s="22">
        <f t="shared" ref="A6:A13" si="0">+A5+0.1</f>
        <v>1.2000000000000002</v>
      </c>
      <c r="B6" s="1" t="s">
        <v>16</v>
      </c>
      <c r="C6" s="39">
        <f>('Financial Statements'!B44-'Financial Statements'!B42)/'Financial Statements'!B56</f>
        <v>0.72323721145740161</v>
      </c>
      <c r="D6" s="39">
        <f>('Financial Statements'!C44-'Financial Statements'!C42)/'Financial Statements'!C56</f>
        <v>0.90633039517523517</v>
      </c>
      <c r="E6" s="39">
        <f>('Financial Statements'!D44-'Financial Statements'!D42)/'Financial Statements'!D56</f>
        <v>0.86195355461486722</v>
      </c>
    </row>
    <row r="7" spans="1:10" x14ac:dyDescent="0.2">
      <c r="A7" s="22">
        <f t="shared" si="0"/>
        <v>1.3000000000000003</v>
      </c>
      <c r="B7" s="1" t="s">
        <v>17</v>
      </c>
      <c r="C7" s="39">
        <f>('Financial Statements'!B40)/'Financial Statements'!B56</f>
        <v>0.34678524772673158</v>
      </c>
      <c r="D7" s="39">
        <f>('Financial Statements'!C40)/'Financial Statements'!C56</f>
        <v>0.25459350793583851</v>
      </c>
      <c r="E7" s="39">
        <f>('Financial Statements'!D40)/'Financial Statements'!D56</f>
        <v>0.33328322190133325</v>
      </c>
    </row>
    <row r="8" spans="1:10" x14ac:dyDescent="0.2">
      <c r="A8" s="22">
        <f t="shared" si="0"/>
        <v>1.4000000000000004</v>
      </c>
      <c r="B8" s="1" t="s">
        <v>18</v>
      </c>
      <c r="C8" s="39">
        <f>'Financial Statements'!B44/(('Financial Statements'!B17-SUM('Financial Statements'!B80:B83))/365)</f>
        <v>375.87492283084521</v>
      </c>
      <c r="D8" s="39">
        <f>'Financial Statements'!C44/(('Financial Statements'!C17-SUM('Financial Statements'!C80:C83))/365)</f>
        <v>421.18693090519554</v>
      </c>
      <c r="E8" s="39">
        <f>'Financial Statements'!D44/(('Financial Statements'!D17-SUM('Financial Statements'!D80:D83))/365)</f>
        <v>491.32451372127457</v>
      </c>
    </row>
    <row r="9" spans="1:10" x14ac:dyDescent="0.2">
      <c r="A9" s="22">
        <f t="shared" si="0"/>
        <v>1.5000000000000004</v>
      </c>
      <c r="B9" s="1" t="s">
        <v>19</v>
      </c>
      <c r="C9" s="39">
        <f>365*'Financial Statements'!B42/'Financial Statements'!B9</f>
        <v>43.4781065744328</v>
      </c>
      <c r="D9" s="39">
        <f>365*'Financial Statements'!C42/'Financial Statements'!C9</f>
        <v>43.74467585112945</v>
      </c>
      <c r="E9" s="39">
        <f>365*'Financial Statements'!D42/'Financial Statements'!D9</f>
        <v>37.226379834295585</v>
      </c>
    </row>
    <row r="10" spans="1:10" x14ac:dyDescent="0.2">
      <c r="A10" s="22">
        <f t="shared" si="0"/>
        <v>1.6000000000000005</v>
      </c>
      <c r="B10" s="1" t="s">
        <v>20</v>
      </c>
      <c r="C10" s="39">
        <f>365*'Financial Statements'!B53/'Financial Statements'!B9</f>
        <v>100.59169548975007</v>
      </c>
      <c r="D10" s="39">
        <f>365*'Financial Statements'!C53/'Financial Statements'!C9</f>
        <v>105.42681314807743</v>
      </c>
      <c r="E10" s="39">
        <f>365*'Financial Statements'!D53/'Financial Statements'!D9</f>
        <v>113.48452896826927</v>
      </c>
    </row>
    <row r="11" spans="1:10" x14ac:dyDescent="0.2">
      <c r="A11" s="22">
        <f t="shared" si="0"/>
        <v>1.7000000000000006</v>
      </c>
      <c r="B11" s="1" t="s">
        <v>21</v>
      </c>
      <c r="C11" s="39">
        <f>365*'Financial Statements'!B43/'Financial Statements'!B8</f>
        <v>30.081539661817608</v>
      </c>
      <c r="D11" s="39">
        <f>365*'Financial Statements'!C43/'Financial Statements'!C8</f>
        <v>25.552688039299991</v>
      </c>
      <c r="E11" s="39">
        <f>365*'Financial Statements'!D43/'Financial Statements'!D8</f>
        <v>23.202966347548593</v>
      </c>
    </row>
    <row r="12" spans="1:10" x14ac:dyDescent="0.2">
      <c r="A12" s="22">
        <f t="shared" si="0"/>
        <v>1.8000000000000007</v>
      </c>
      <c r="B12" s="1" t="s">
        <v>22</v>
      </c>
      <c r="C12" s="39">
        <f>C9+C11-C10</f>
        <v>-27.03204925349965</v>
      </c>
      <c r="D12" s="39">
        <f t="shared" ref="D12:E12" si="1">D9+D11-D10</f>
        <v>-36.129449257647991</v>
      </c>
      <c r="E12" s="39">
        <f t="shared" si="1"/>
        <v>-53.055182786425092</v>
      </c>
    </row>
    <row r="13" spans="1:10" x14ac:dyDescent="0.2">
      <c r="A13" s="22">
        <f t="shared" si="0"/>
        <v>1.9000000000000008</v>
      </c>
      <c r="B13" s="1" t="s">
        <v>23</v>
      </c>
      <c r="C13" s="37">
        <f>C14/'Financial Statements'!B8</f>
        <v>-1.6735962084349094E-2</v>
      </c>
      <c r="D13" s="37">
        <f>D14/'Financial Statements'!C8</f>
        <v>4.1109186032156859E-2</v>
      </c>
      <c r="E13" s="37">
        <f>E14/'Financial Statements'!D8</f>
        <v>1.6442869576028845E-2</v>
      </c>
    </row>
    <row r="14" spans="1:10" x14ac:dyDescent="0.2">
      <c r="A14" s="22"/>
      <c r="B14" s="19" t="s">
        <v>24</v>
      </c>
      <c r="C14">
        <f>'Financial Statements'!B44-'Financial Statements'!B56</f>
        <v>-8602</v>
      </c>
      <c r="D14">
        <f>'Financial Statements'!C44-'Financial Statements'!C56</f>
        <v>19314</v>
      </c>
      <c r="E14">
        <f>'Financial Statements'!D44-'Financial Statements'!D56</f>
        <v>6348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5" x14ac:dyDescent="0.2">
      <c r="A17" s="22">
        <f>+A16+0.1</f>
        <v>2.1</v>
      </c>
      <c r="B17" s="1" t="s">
        <v>11</v>
      </c>
      <c r="C17" s="37">
        <f>('Financial Statements'!B8-'Financial Statements'!B9)/'Financial Statements'!B8</f>
        <v>0.43805339865326287</v>
      </c>
      <c r="D17" s="37">
        <f>('Financial Statements'!C8-'Financial Statements'!C9)/'Financial Statements'!C8</f>
        <v>0.42032514441639601</v>
      </c>
      <c r="E17" s="37">
        <f>('Financial Statements'!D8-'Financial Statements'!D9)/'Financial Statements'!D8</f>
        <v>0.3956779186870571</v>
      </c>
    </row>
    <row r="18" spans="1:5" x14ac:dyDescent="0.2">
      <c r="A18" s="22">
        <f>+A17+0.1</f>
        <v>2.2000000000000002</v>
      </c>
      <c r="B18" s="1" t="s">
        <v>26</v>
      </c>
      <c r="C18" s="37">
        <f>C19/'Financial Statements'!B8</f>
        <v>0.10539064521589235</v>
      </c>
      <c r="D18" s="37">
        <f>D19/'Financial Statements'!C8</f>
        <v>0.12624355607017126</v>
      </c>
      <c r="E18" s="37">
        <f>E19/'Financial Statements'!D8</f>
        <v>0.12453634630527581</v>
      </c>
    </row>
    <row r="19" spans="1:5" x14ac:dyDescent="0.2">
      <c r="A19" s="22"/>
      <c r="B19" s="19" t="s">
        <v>27</v>
      </c>
      <c r="C19">
        <f>'Financial Statements'!B18+'Financial Statements'!B80</f>
        <v>54169</v>
      </c>
      <c r="D19">
        <f>'Financial Statements'!C18+'Financial Statements'!C80</f>
        <v>59312</v>
      </c>
      <c r="E19">
        <f>'Financial Statements'!D18+'Financial Statements'!D80</f>
        <v>48079</v>
      </c>
    </row>
    <row r="20" spans="1:5" x14ac:dyDescent="0.2">
      <c r="A20" s="22">
        <f>+A18+0.1</f>
        <v>2.3000000000000003</v>
      </c>
      <c r="B20" s="1" t="s">
        <v>28</v>
      </c>
      <c r="C20" s="37">
        <f>C21/'Financial Statements'!B8</f>
        <v>2.3829581912242232E-2</v>
      </c>
      <c r="D20" s="37">
        <f>D21/'Financial Statements'!C8</f>
        <v>5.2954097509269465E-2</v>
      </c>
      <c r="E20" s="37">
        <f>E21/'Financial Statements'!D8</f>
        <v>5.9313999751336569E-2</v>
      </c>
    </row>
    <row r="21" spans="1:5" x14ac:dyDescent="0.2">
      <c r="A21" s="22"/>
      <c r="B21" s="19" t="s">
        <v>29</v>
      </c>
      <c r="C21">
        <f>'Financial Statements'!B18</f>
        <v>12248</v>
      </c>
      <c r="D21">
        <f>'Financial Statements'!C18</f>
        <v>24879</v>
      </c>
      <c r="E21">
        <f>'Financial Statements'!D18</f>
        <v>22899</v>
      </c>
    </row>
    <row r="22" spans="1:5" x14ac:dyDescent="0.2">
      <c r="A22" s="22">
        <f>+A20+0.1</f>
        <v>2.4000000000000004</v>
      </c>
      <c r="B22" s="1" t="s">
        <v>30</v>
      </c>
      <c r="C22" s="37">
        <f>'Financial Statements'!B26/'Financial Statements'!B8</f>
        <v>-5.2958950004183018E-3</v>
      </c>
      <c r="D22" s="37">
        <f>'Financial Statements'!C26/'Financial Statements'!C8</f>
        <v>7.1014128755145567E-2</v>
      </c>
      <c r="E22" s="37">
        <f>'Financial Statements'!D26/'Financial Statements'!D8</f>
        <v>5.5252496995316841E-2</v>
      </c>
    </row>
    <row r="23" spans="1:5" x14ac:dyDescent="0.2">
      <c r="A23" s="22"/>
    </row>
    <row r="24" spans="1:5" x14ac:dyDescent="0.2">
      <c r="A24" s="22">
        <f>+A16+1</f>
        <v>3</v>
      </c>
      <c r="B24" s="9" t="s">
        <v>31</v>
      </c>
    </row>
    <row r="25" spans="1:5" x14ac:dyDescent="0.2">
      <c r="A25" s="22">
        <f>+A24+0.1</f>
        <v>3.1</v>
      </c>
      <c r="B25" s="1" t="s">
        <v>32</v>
      </c>
      <c r="C25" s="44">
        <f>('Financial Statements'!B58)/'Financial Statements'!B69</f>
        <v>0.45979608745369516</v>
      </c>
      <c r="D25" s="44">
        <f>('Financial Statements'!C58)/'Financial Statements'!C69</f>
        <v>0.35259141379435061</v>
      </c>
      <c r="E25" s="44">
        <f>('Financial Statements'!D58)/'Financial Statements'!D69</f>
        <v>0.34062781037214679</v>
      </c>
    </row>
    <row r="26" spans="1:5" x14ac:dyDescent="0.2">
      <c r="A26" s="22">
        <f t="shared" ref="A26:A30" si="2">+A25+0.1</f>
        <v>3.2</v>
      </c>
      <c r="B26" s="1" t="s">
        <v>33</v>
      </c>
      <c r="C26" s="44">
        <f>'Financial Statements'!B58/'Financial Statements'!B49</f>
        <v>0.14513427351812827</v>
      </c>
      <c r="D26" s="44">
        <f>'Financial Statements'!C58/'Financial Statements'!C49</f>
        <v>0.11590563763081116</v>
      </c>
      <c r="E26" s="44">
        <f>'Financial Statements'!D58/'Financial Statements'!D49</f>
        <v>9.9055091144009094E-2</v>
      </c>
    </row>
    <row r="27" spans="1:5" x14ac:dyDescent="0.2">
      <c r="A27" s="22">
        <f t="shared" si="2"/>
        <v>3.3000000000000003</v>
      </c>
      <c r="B27" s="1" t="s">
        <v>34</v>
      </c>
      <c r="C27" s="44">
        <f>'Financial Statements'!B58/('Financial Statements'!B58+'Financial Statements'!B69)</f>
        <v>0.31497281805687805</v>
      </c>
      <c r="D27" s="44">
        <f>'Financial Statements'!C58/('Financial Statements'!C58+'Financial Statements'!C69)</f>
        <v>0.26067843562990334</v>
      </c>
      <c r="E27" s="44">
        <f>'Financial Statements'!D58/('Financial Statements'!D58+'Financial Statements'!D69)</f>
        <v>0.2540808177607411</v>
      </c>
    </row>
    <row r="28" spans="1:5" x14ac:dyDescent="0.2">
      <c r="A28" s="22">
        <f t="shared" si="2"/>
        <v>3.4000000000000004</v>
      </c>
      <c r="B28" s="1" t="s">
        <v>35</v>
      </c>
      <c r="C28" s="44">
        <f>C21/-'Financial Statements'!B20</f>
        <v>5.1744824672581329</v>
      </c>
      <c r="D28" s="44">
        <f>D21/-'Financial Statements'!C20</f>
        <v>13.752902155887231</v>
      </c>
      <c r="E28" s="44">
        <f>E21/-'Financial Statements'!D20</f>
        <v>13.903460837887067</v>
      </c>
    </row>
    <row r="29" spans="1:5" x14ac:dyDescent="0.2">
      <c r="A29" s="22">
        <f t="shared" si="2"/>
        <v>3.5000000000000004</v>
      </c>
      <c r="B29" s="1" t="s">
        <v>36</v>
      </c>
      <c r="C29" s="44">
        <f>C21/('Financial Statements'!B112+'Financial Statements'!B103)</f>
        <v>13.855203619909503</v>
      </c>
      <c r="D29" s="44">
        <f>D21/('Financial Statements'!C112+'Financial Statements'!C103)</f>
        <v>136.69780219780219</v>
      </c>
      <c r="E29" s="44">
        <f>E21/('Financial Statements'!D112+'Financial Statements'!D103)</f>
        <v>297.38961038961037</v>
      </c>
    </row>
    <row r="30" spans="1:5" x14ac:dyDescent="0.2">
      <c r="A30" s="22">
        <f t="shared" si="2"/>
        <v>3.6000000000000005</v>
      </c>
      <c r="B30" s="1" t="s">
        <v>37</v>
      </c>
      <c r="C30" s="10">
        <f>C31/'Financial Statements'!B28</f>
        <v>-15825.925925925925</v>
      </c>
      <c r="D30" s="10">
        <f>D31/'Financial Statements'!C28</f>
        <v>1296.0606060606062</v>
      </c>
      <c r="E30" s="10">
        <f>E31/'Financial Statements'!D28</f>
        <v>17112.206572769956</v>
      </c>
    </row>
    <row r="31" spans="1:5" x14ac:dyDescent="0.2">
      <c r="A31" s="22"/>
      <c r="B31" s="19" t="s">
        <v>38</v>
      </c>
      <c r="C31" s="10">
        <f>'Financial Statements'!B90+'Financial Statements'!B92+'Financial Statements'!B102</f>
        <v>4273</v>
      </c>
      <c r="D31" s="10">
        <f>'Financial Statements'!C90+'Financial Statements'!C92+'Financial Statements'!C102</f>
        <v>4277</v>
      </c>
      <c r="E31" s="10">
        <f>'Financial Statements'!D90+'Financial Statements'!D92+'Financial Statements'!D102</f>
        <v>36449</v>
      </c>
    </row>
    <row r="32" spans="1:5" x14ac:dyDescent="0.2">
      <c r="A32" s="22"/>
    </row>
    <row r="33" spans="1:11" x14ac:dyDescent="0.2">
      <c r="A33" s="22">
        <f>+A24+1</f>
        <v>4</v>
      </c>
      <c r="B33" s="23" t="s">
        <v>39</v>
      </c>
    </row>
    <row r="34" spans="1:11" x14ac:dyDescent="0.2">
      <c r="A34" s="22">
        <f>+A33+0.1</f>
        <v>4.0999999999999996</v>
      </c>
      <c r="B34" s="1" t="s">
        <v>40</v>
      </c>
      <c r="C34" s="38">
        <f>'Financial Statements'!B8/C35</f>
        <v>1.1638791518346421</v>
      </c>
      <c r="D34" s="38">
        <f>'Financial Statements'!C8/D35</f>
        <v>1.2668036411484285</v>
      </c>
    </row>
    <row r="35" spans="1:11" x14ac:dyDescent="0.2">
      <c r="A35" s="22"/>
      <c r="B35" s="1" t="s">
        <v>156</v>
      </c>
      <c r="C35">
        <f>('Financial Statements'!B49+'Financial Statements'!C49)/2</f>
        <v>441612</v>
      </c>
      <c r="D35">
        <f>('Financial Statements'!C49+'Financial Statements'!D49)/2</f>
        <v>370872</v>
      </c>
    </row>
    <row r="36" spans="1:11" x14ac:dyDescent="0.2">
      <c r="A36" s="22">
        <f>+A34+0.1</f>
        <v>4.1999999999999993</v>
      </c>
      <c r="B36" s="1" t="s">
        <v>41</v>
      </c>
      <c r="C36" s="38">
        <f>'Financial Statements'!B8/C37</f>
        <v>1.7882241199054367</v>
      </c>
      <c r="D36" s="38">
        <f>'Financial Statements'!C8/D37</f>
        <v>2.1000869407796956</v>
      </c>
    </row>
    <row r="37" spans="1:11" x14ac:dyDescent="0.2">
      <c r="A37" s="22"/>
      <c r="B37" s="1" t="s">
        <v>157</v>
      </c>
      <c r="C37">
        <f>(('Financial Statements'!B49-'Financial Statements'!B44)+('Financial Statements'!C49-'Financial Statements'!C44))/2</f>
        <v>287426.5</v>
      </c>
      <c r="D37">
        <f>(('Financial Statements'!C49-'Financial Statements'!C44)+('Financial Statements'!D49-'Financial Statements'!D44))/2</f>
        <v>223715.5</v>
      </c>
    </row>
    <row r="38" spans="1:11" x14ac:dyDescent="0.2">
      <c r="A38" s="22">
        <f>+A36+0.1</f>
        <v>4.2999999999999989</v>
      </c>
      <c r="B38" s="1" t="s">
        <v>42</v>
      </c>
      <c r="C38" s="38">
        <f>'Financial Statements'!B9/'Financial Statements'!B42</f>
        <v>8.3950297921813686</v>
      </c>
      <c r="D38" s="38">
        <f>'Financial Statements'!C9/'Financial Statements'!C42</f>
        <v>8.3438725490196077</v>
      </c>
    </row>
    <row r="39" spans="1:11" x14ac:dyDescent="0.2">
      <c r="A39" s="22"/>
      <c r="B39" s="1" t="s">
        <v>158</v>
      </c>
      <c r="C39">
        <f>('Financial Statements'!B42+'Financial Statements'!C42)/2</f>
        <v>33522.5</v>
      </c>
      <c r="D39">
        <f>('Financial Statements'!C42+'Financial Statements'!D42)/2</f>
        <v>28217.5</v>
      </c>
    </row>
    <row r="40" spans="1:11" x14ac:dyDescent="0.2">
      <c r="A40" s="22">
        <f>+A38+0.1</f>
        <v>4.3999999999999986</v>
      </c>
      <c r="B40" s="1" t="s">
        <v>43</v>
      </c>
      <c r="C40" s="40">
        <f>'Financial Statements'!B26/'List of Ratios'!C35</f>
        <v>-6.1637817812921752E-3</v>
      </c>
      <c r="D40" s="40">
        <f>'Financial Statements'!C26/'List of Ratios'!D35</f>
        <v>8.9960956880001719E-2</v>
      </c>
    </row>
    <row r="41" spans="1:11" x14ac:dyDescent="0.2">
      <c r="A41" s="22"/>
    </row>
    <row r="42" spans="1:11" x14ac:dyDescent="0.2">
      <c r="A42" s="22"/>
    </row>
    <row r="43" spans="1:11" x14ac:dyDescent="0.2">
      <c r="A43" s="22">
        <f>+A33+1</f>
        <v>5</v>
      </c>
      <c r="B43" s="23" t="s">
        <v>44</v>
      </c>
      <c r="I43" s="41">
        <v>45182</v>
      </c>
      <c r="J43" s="41">
        <v>44817</v>
      </c>
      <c r="K43" s="41">
        <v>44449</v>
      </c>
    </row>
    <row r="44" spans="1:11" x14ac:dyDescent="0.2">
      <c r="A44" s="22">
        <f>+A43+0.1</f>
        <v>5.0999999999999996</v>
      </c>
      <c r="B44" s="1" t="s">
        <v>45</v>
      </c>
      <c r="C44" s="38">
        <f>I44/C45</f>
        <v>-523.07407407407402</v>
      </c>
      <c r="D44" s="38">
        <f t="shared" ref="D44:E44" si="3">J44/D45</f>
        <v>39.141975308641968</v>
      </c>
      <c r="E44" s="38">
        <f t="shared" si="3"/>
        <v>82.990430622009569</v>
      </c>
      <c r="H44" t="s">
        <v>159</v>
      </c>
      <c r="I44">
        <v>141.22999999999999</v>
      </c>
      <c r="J44">
        <v>126.82</v>
      </c>
      <c r="K44">
        <v>173.45</v>
      </c>
    </row>
    <row r="45" spans="1:11" x14ac:dyDescent="0.2">
      <c r="A45" s="22">
        <f t="shared" ref="A45:A48" si="4">+A44+0.1</f>
        <v>5.1999999999999993</v>
      </c>
      <c r="B45" s="19" t="s">
        <v>46</v>
      </c>
      <c r="C45">
        <f>'Financial Statements'!B29</f>
        <v>-0.27</v>
      </c>
      <c r="D45">
        <f>'Financial Statements'!C29</f>
        <v>3.24</v>
      </c>
      <c r="E45">
        <f>'Financial Statements'!D29</f>
        <v>2.09</v>
      </c>
    </row>
    <row r="46" spans="1:11" x14ac:dyDescent="0.2">
      <c r="A46" s="22">
        <f t="shared" si="4"/>
        <v>5.2999999999999989</v>
      </c>
      <c r="B46" s="1" t="s">
        <v>47</v>
      </c>
      <c r="C46" s="38">
        <f>I44/C47</f>
        <v>9.853210835164985</v>
      </c>
      <c r="D46" s="38">
        <f t="shared" ref="D46:E46" si="5">J44/D47</f>
        <v>9.445106296791927</v>
      </c>
      <c r="E46" s="38">
        <f t="shared" si="5"/>
        <v>18.937551924971093</v>
      </c>
    </row>
    <row r="47" spans="1:11" x14ac:dyDescent="0.2">
      <c r="A47" s="22">
        <f>+A46+0.1</f>
        <v>5.3999999999999986</v>
      </c>
      <c r="B47" s="19" t="s">
        <v>48</v>
      </c>
      <c r="C47" s="39">
        <f>'Financial Statements'!B69/('Financial Statements'!B32)</f>
        <v>14.333398763372264</v>
      </c>
      <c r="D47" s="39">
        <f>'Financial Statements'!C69/('Financial Statements'!C32)</f>
        <v>13.427059052059052</v>
      </c>
      <c r="E47" s="39">
        <f>'Financial Statements'!D69/('Financial Statements'!D32)</f>
        <v>9.1590507942733872</v>
      </c>
    </row>
    <row r="48" spans="1:11" x14ac:dyDescent="0.2">
      <c r="A48" s="22">
        <f t="shared" si="4"/>
        <v>5.4999999999999982</v>
      </c>
      <c r="B48" s="1" t="s">
        <v>49</v>
      </c>
      <c r="C48" s="42"/>
      <c r="D48" s="42"/>
      <c r="E48" s="42"/>
    </row>
    <row r="49" spans="1:5" x14ac:dyDescent="0.2">
      <c r="A49" s="22"/>
      <c r="B49" s="19" t="s">
        <v>50</v>
      </c>
      <c r="C49" s="42"/>
      <c r="D49" s="42"/>
      <c r="E49" s="42"/>
    </row>
    <row r="50" spans="1:5" x14ac:dyDescent="0.2">
      <c r="A50" s="22">
        <f>+A48+0.1</f>
        <v>5.5999999999999979</v>
      </c>
      <c r="B50" s="1" t="s">
        <v>51</v>
      </c>
      <c r="C50" s="42"/>
      <c r="D50" s="42"/>
      <c r="E50" s="42"/>
    </row>
    <row r="51" spans="1:5" x14ac:dyDescent="0.2">
      <c r="A51" s="22">
        <f t="shared" ref="A51:A54" si="6">+A49+0.1</f>
        <v>0.1</v>
      </c>
      <c r="B51" s="1" t="s">
        <v>52</v>
      </c>
      <c r="C51" s="37">
        <f>'Financial Statements'!B26/'Financial Statements'!B69</f>
        <v>-1.8638346240490815E-2</v>
      </c>
      <c r="D51" s="37">
        <f>'Financial Statements'!C26/'Financial Statements'!C69</f>
        <v>0.2413396506202756</v>
      </c>
      <c r="E51" s="37">
        <f>'Financial Statements'!D26/'Financial Statements'!D69</f>
        <v>0.22837351719412444</v>
      </c>
    </row>
    <row r="52" spans="1:5" x14ac:dyDescent="0.2">
      <c r="A52" s="22">
        <f t="shared" si="6"/>
        <v>5.6999999999999975</v>
      </c>
      <c r="B52" s="1" t="s">
        <v>53</v>
      </c>
      <c r="C52" s="37">
        <f>'List of Ratios'!C21/('Financial Statements'!B58+'Financial Statements'!B69)</f>
        <v>5.745029151989043E-2</v>
      </c>
      <c r="D52" s="37">
        <f>'List of Ratios'!D21/('Financial Statements'!C58+'Financial Statements'!C69)</f>
        <v>0.13305060725497223</v>
      </c>
      <c r="E52" s="37">
        <f>'List of Ratios'!E21/('Financial Statements'!D58+'Financial Statements'!D69)</f>
        <v>0.18287014853857211</v>
      </c>
    </row>
    <row r="53" spans="1:5" x14ac:dyDescent="0.2">
      <c r="A53" s="22">
        <f t="shared" si="6"/>
        <v>0.2</v>
      </c>
      <c r="B53" s="1" t="s">
        <v>43</v>
      </c>
      <c r="C53" s="40">
        <f>'Financial Statements'!B26/C35</f>
        <v>-6.1637817812921752E-3</v>
      </c>
      <c r="D53" s="40">
        <f>'Financial Statements'!C26/D35</f>
        <v>8.9960956880001719E-2</v>
      </c>
      <c r="E53" s="37"/>
    </row>
    <row r="54" spans="1:5" x14ac:dyDescent="0.2">
      <c r="A54" s="22">
        <f t="shared" si="6"/>
        <v>5.7999999999999972</v>
      </c>
      <c r="B54" s="1" t="s">
        <v>54</v>
      </c>
      <c r="C54" s="38">
        <f>C55/C19</f>
        <v>26.80969687459617</v>
      </c>
      <c r="D54" s="38">
        <f t="shared" ref="D54:E54" si="7">D55/D19</f>
        <v>22.225902346911248</v>
      </c>
      <c r="E54" s="38">
        <f t="shared" si="7"/>
        <v>36.575991597162997</v>
      </c>
    </row>
    <row r="55" spans="1:5" x14ac:dyDescent="0.2">
      <c r="A55" s="22"/>
      <c r="B55" s="19" t="s">
        <v>55</v>
      </c>
      <c r="C55" s="43">
        <f>((I44)*'Financial Statements'!B32)+'Financial Statements'!B58-'Financial Statements'!B40</f>
        <v>1452254.47</v>
      </c>
      <c r="D55" s="43">
        <f>((J44)*'Financial Statements'!C32)+'Financial Statements'!C58-'Financial Statements'!C40</f>
        <v>1318262.72</v>
      </c>
      <c r="E55" s="43">
        <f>((K44)*'Financial Statements'!D32)+'Financial Statements'!D58-'Financial Statements'!D40</f>
        <v>1758537.0999999999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2020-05-19T16:15:53Z</dcterms:created>
  <dcterms:modified xsi:type="dcterms:W3CDTF">2023-09-14T12:53:11Z</dcterms:modified>
</cp:coreProperties>
</file>