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OneDrive\Desktop\QPL hands on experience\Task 2\"/>
    </mc:Choice>
  </mc:AlternateContent>
  <xr:revisionPtr revIDLastSave="0" documentId="8_{AED3B1A4-42FC-420D-84CC-F4FA0B939E1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C53" i="3"/>
  <c r="D44" i="3"/>
  <c r="E44" i="3"/>
  <c r="C44" i="3"/>
  <c r="D42" i="3"/>
  <c r="E42" i="3"/>
  <c r="C42" i="3"/>
  <c r="C32" i="3"/>
  <c r="D32" i="3" l="1"/>
  <c r="E32" i="3"/>
  <c r="C31" i="3"/>
  <c r="D31" i="3"/>
  <c r="E31" i="3"/>
  <c r="D10" i="3"/>
  <c r="E10" i="3"/>
  <c r="C10" i="3"/>
  <c r="D8" i="3"/>
  <c r="E8" i="3"/>
  <c r="C8" i="3"/>
  <c r="D67" i="3"/>
  <c r="D68" i="3"/>
  <c r="D71" i="3"/>
  <c r="C67" i="3"/>
  <c r="C68" i="3"/>
  <c r="C71" i="3"/>
  <c r="D60" i="3"/>
  <c r="D61" i="3"/>
  <c r="D62" i="3"/>
  <c r="D63" i="3"/>
  <c r="D64" i="3"/>
  <c r="C61" i="3"/>
  <c r="C62" i="3"/>
  <c r="C63" i="3"/>
  <c r="C64" i="3"/>
  <c r="C60" i="3"/>
  <c r="D56" i="3"/>
  <c r="D57" i="3"/>
  <c r="C57" i="3"/>
  <c r="C56" i="3"/>
  <c r="D41" i="3" l="1"/>
  <c r="E41" i="3"/>
  <c r="C41" i="3"/>
  <c r="D37" i="3"/>
  <c r="E37" i="3"/>
  <c r="C37" i="3"/>
  <c r="D9" i="3" l="1"/>
  <c r="E9" i="3"/>
  <c r="C9" i="3"/>
  <c r="E7" i="3" l="1"/>
  <c r="E5" i="3"/>
  <c r="D106" i="2"/>
  <c r="D103" i="2"/>
  <c r="C103" i="2"/>
  <c r="C106" i="2" s="1"/>
  <c r="B103" i="2"/>
  <c r="B106" i="2" s="1"/>
  <c r="B98" i="2"/>
  <c r="C98" i="2"/>
  <c r="C108" i="2" s="1"/>
  <c r="C109" i="2" s="1"/>
  <c r="D98" i="2"/>
  <c r="C91" i="2"/>
  <c r="D91" i="2"/>
  <c r="D108" i="2" s="1"/>
  <c r="D109" i="2" s="1"/>
  <c r="B91" i="2"/>
  <c r="B108" i="2" s="1"/>
  <c r="B109" i="2" s="1"/>
  <c r="C71" i="2"/>
  <c r="D71" i="2"/>
  <c r="B71" i="2"/>
  <c r="C62" i="2"/>
  <c r="D78" i="3" s="1"/>
  <c r="D62" i="2"/>
  <c r="B62" i="2"/>
  <c r="C57" i="2"/>
  <c r="D77" i="3" s="1"/>
  <c r="D57" i="2"/>
  <c r="B57" i="2"/>
  <c r="C77" i="3" s="1"/>
  <c r="C50" i="2"/>
  <c r="D50" i="2"/>
  <c r="B50" i="2"/>
  <c r="C75" i="3" s="1"/>
  <c r="C44" i="2"/>
  <c r="D5" i="3" s="1"/>
  <c r="D44" i="2"/>
  <c r="B44" i="2"/>
  <c r="C5" i="3" s="1"/>
  <c r="C23" i="2"/>
  <c r="D23" i="2"/>
  <c r="B23" i="2"/>
  <c r="C69" i="3" s="1"/>
  <c r="C18" i="2"/>
  <c r="D18" i="2"/>
  <c r="B18" i="2"/>
  <c r="C8" i="2"/>
  <c r="D8" i="2"/>
  <c r="B8" i="2"/>
  <c r="D80" i="3" l="1"/>
  <c r="D43" i="3"/>
  <c r="D27" i="3"/>
  <c r="D25" i="3"/>
  <c r="B11" i="2"/>
  <c r="C58" i="3"/>
  <c r="C83" i="3"/>
  <c r="C36" i="3"/>
  <c r="C11" i="3"/>
  <c r="D69" i="3"/>
  <c r="D7" i="3"/>
  <c r="C11" i="2"/>
  <c r="D58" i="3"/>
  <c r="D83" i="3"/>
  <c r="D36" i="3"/>
  <c r="D11" i="3"/>
  <c r="E14" i="3"/>
  <c r="E13" i="3" s="1"/>
  <c r="C78" i="3"/>
  <c r="D11" i="2"/>
  <c r="E83" i="3"/>
  <c r="E36" i="3"/>
  <c r="E11" i="3"/>
  <c r="E12" i="3" s="1"/>
  <c r="C74" i="3"/>
  <c r="C14" i="3"/>
  <c r="C13" i="3" s="1"/>
  <c r="C65" i="3"/>
  <c r="D74" i="3"/>
  <c r="D14" i="3"/>
  <c r="D13" i="3" s="1"/>
  <c r="C6" i="3"/>
  <c r="E6" i="3"/>
  <c r="D65" i="3"/>
  <c r="C80" i="3"/>
  <c r="C43" i="3"/>
  <c r="C27" i="3"/>
  <c r="C25" i="3"/>
  <c r="D6" i="3"/>
  <c r="D75" i="3"/>
  <c r="E43" i="3"/>
  <c r="E27" i="3"/>
  <c r="E25" i="3"/>
  <c r="C7" i="3"/>
  <c r="B63" i="2"/>
  <c r="D63" i="2"/>
  <c r="C63" i="2"/>
  <c r="D51" i="2"/>
  <c r="E26" i="3" s="1"/>
  <c r="C51" i="2"/>
  <c r="B51" i="2"/>
  <c r="B19" i="2"/>
  <c r="C84" i="3" l="1"/>
  <c r="C59" i="3"/>
  <c r="C17" i="3"/>
  <c r="E84" i="3"/>
  <c r="E17" i="3"/>
  <c r="C72" i="2"/>
  <c r="D81" i="3" s="1"/>
  <c r="D79" i="3"/>
  <c r="D30" i="3"/>
  <c r="D52" i="3"/>
  <c r="D51" i="3" s="1"/>
  <c r="D12" i="3"/>
  <c r="B24" i="2"/>
  <c r="C85" i="3"/>
  <c r="C38" i="3"/>
  <c r="C50" i="3" s="1"/>
  <c r="C49" i="3"/>
  <c r="C21" i="3"/>
  <c r="C19" i="3"/>
  <c r="C18" i="3" s="1"/>
  <c r="D72" i="2"/>
  <c r="E52" i="3"/>
  <c r="E51" i="3" s="1"/>
  <c r="E30" i="3"/>
  <c r="C76" i="3"/>
  <c r="C26" i="3"/>
  <c r="D84" i="3"/>
  <c r="D59" i="3"/>
  <c r="D17" i="3"/>
  <c r="C19" i="2"/>
  <c r="C66" i="3" s="1"/>
  <c r="B72" i="2"/>
  <c r="C81" i="3" s="1"/>
  <c r="C79" i="3"/>
  <c r="C52" i="3"/>
  <c r="C51" i="3" s="1"/>
  <c r="C30" i="3"/>
  <c r="E35" i="3"/>
  <c r="C12" i="3"/>
  <c r="D76" i="3"/>
  <c r="D26" i="3"/>
  <c r="D19" i="2"/>
  <c r="D35" i="3"/>
  <c r="C35" i="3"/>
  <c r="A48" i="3"/>
  <c r="A50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27" i="2" l="1"/>
  <c r="C28" i="3"/>
  <c r="C20" i="3"/>
  <c r="D24" i="2"/>
  <c r="D27" i="2" s="1"/>
  <c r="E85" i="3"/>
  <c r="E38" i="3"/>
  <c r="E50" i="3" s="1"/>
  <c r="E49" i="3"/>
  <c r="E21" i="3"/>
  <c r="E19" i="3"/>
  <c r="E18" i="3" s="1"/>
  <c r="C24" i="2"/>
  <c r="D66" i="3"/>
  <c r="D85" i="3"/>
  <c r="D49" i="3"/>
  <c r="D38" i="3"/>
  <c r="D50" i="3" s="1"/>
  <c r="D21" i="3"/>
  <c r="D19" i="3"/>
  <c r="D18" i="3" s="1"/>
  <c r="A34" i="3"/>
  <c r="A25" i="3"/>
  <c r="A26" i="3" s="1"/>
  <c r="A27" i="3" s="1"/>
  <c r="A28" i="3" s="1"/>
  <c r="A29" i="3" s="1"/>
  <c r="A30" i="3" s="1"/>
  <c r="A17" i="3"/>
  <c r="A18" i="3" s="1"/>
  <c r="A20" i="3" s="1"/>
  <c r="A22" i="3" s="1"/>
  <c r="E86" i="3" l="1"/>
  <c r="E48" i="3"/>
  <c r="E29" i="3"/>
  <c r="E22" i="3"/>
  <c r="D28" i="3"/>
  <c r="D20" i="3"/>
  <c r="C27" i="2"/>
  <c r="D70" i="3"/>
  <c r="C70" i="3"/>
  <c r="E28" i="3"/>
  <c r="E20" i="3"/>
  <c r="C86" i="3"/>
  <c r="C48" i="3"/>
  <c r="C29" i="3"/>
  <c r="C22" i="3"/>
  <c r="A35" i="3"/>
  <c r="A36" i="3" s="1"/>
  <c r="A37" i="3" s="1"/>
  <c r="A38" i="3" s="1"/>
  <c r="A40" i="3"/>
  <c r="A41" i="3" s="1"/>
  <c r="A42" i="3" s="1"/>
  <c r="A43" i="3" s="1"/>
  <c r="A44" i="3" s="1"/>
  <c r="A45" i="3" s="1"/>
  <c r="A47" i="3" s="1"/>
  <c r="A49" i="3" s="1"/>
  <c r="A51" i="3" s="1"/>
  <c r="D86" i="3" l="1"/>
  <c r="D72" i="3"/>
  <c r="D48" i="3"/>
  <c r="D29" i="3"/>
  <c r="D22" i="3"/>
  <c r="C72" i="3"/>
</calcChain>
</file>

<file path=xl/sharedStrings.xml><?xml version="1.0" encoding="utf-8"?>
<sst xmlns="http://schemas.openxmlformats.org/spreadsheetml/2006/main" count="213" uniqueCount="181">
  <si>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</si>
  <si>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</si>
  <si>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</si>
  <si>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</si>
  <si>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</si>
  <si>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</si>
  <si>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</si>
  <si>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</si>
  <si>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</si>
  <si>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</si>
  <si>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</si>
  <si>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</si>
  <si>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</si>
  <si>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</si>
  <si>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</si>
  <si>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</si>
  <si>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</si>
  <si>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</si>
  <si>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</si>
  <si>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</si>
  <si>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</si>
  <si>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</si>
  <si>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</si>
  <si>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</si>
  <si>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</si>
  <si>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</si>
  <si>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</si>
  <si>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</si>
  <si>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</si>
  <si>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</si>
  <si>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</si>
  <si>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</si>
  <si>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</si>
  <si>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</si>
  <si>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</si>
  <si>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</si>
  <si>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</si>
  <si>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</si>
  <si>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</si>
  <si>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</si>
  <si>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</si>
  <si>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</si>
  <si>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</si>
  <si>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</si>
  <si>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</si>
  <si>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</si>
  <si>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</si>
  <si>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</si>
  <si>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</si>
  <si>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</si>
  <si>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</si>
  <si>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</si>
  <si>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</si>
  <si>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</si>
  <si>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</si>
  <si>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</si>
  <si>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</si>
  <si>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</si>
  <si>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</si>
  <si>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</si>
  <si>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</si>
  <si>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</si>
  <si>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</si>
  <si>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</si>
  <si>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</si>
  <si>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</si>
  <si>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</si>
  <si>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</si>
  <si>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Operating expenses:</t>
  </si>
  <si>
    <t>Fulfillment</t>
  </si>
  <si>
    <t>Technology and content</t>
  </si>
  <si>
    <t>Sales and marketing</t>
  </si>
  <si>
    <t>General and administrative</t>
  </si>
  <si>
    <t>Other operanting expenses(income)net</t>
  </si>
  <si>
    <t>Total operating expenses</t>
  </si>
  <si>
    <t>Operating income</t>
  </si>
  <si>
    <t>Interest income</t>
  </si>
  <si>
    <t>Interest expenses</t>
  </si>
  <si>
    <t>Other income (expense), net</t>
  </si>
  <si>
    <t>Total non-operating income (expenses)</t>
  </si>
  <si>
    <t>Income (loss) before income taxes</t>
  </si>
  <si>
    <t>Provision for income taxes</t>
  </si>
  <si>
    <t>Equity-method investement activity, net of tax</t>
  </si>
  <si>
    <t>Net income (loss)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</si>
  <si>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</si>
  <si>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</si>
  <si>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</si>
  <si>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</si>
  <si>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</si>
  <si>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</si>
  <si>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</si>
  <si>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</si>
  <si>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</si>
  <si>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</si>
  <si>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</si>
  <si>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</si>
  <si>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</si>
  <si>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Operating leases</t>
  </si>
  <si>
    <t>Goodwill</t>
  </si>
  <si>
    <t>Total non current assets</t>
  </si>
  <si>
    <t>Total assets</t>
  </si>
  <si>
    <t>Current liabilities:</t>
  </si>
  <si>
    <t>Accounts payable</t>
  </si>
  <si>
    <t>Deferred revenue</t>
  </si>
  <si>
    <t>Term debt</t>
  </si>
  <si>
    <t>Acrrued Expenses and other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</si>
  <si>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</si>
  <si>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</si>
  <si>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</si>
  <si>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</si>
  <si>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</si>
  <si>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Term lease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</si>
  <si>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</si>
  <si>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</si>
  <si>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</si>
  <si>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</si>
  <si>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</si>
  <si>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</si>
  <si>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Treasury sotck, at cost</t>
  </si>
  <si>
    <t>Additional paid-in capital</t>
  </si>
  <si>
    <t>Cash, cash equivalents and restricted cash, beginning balances</t>
  </si>
  <si>
    <t>Operating activities:</t>
  </si>
  <si>
    <t>Net income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</si>
  <si>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</si>
  <si>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</si>
  <si>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</si>
  <si>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</si>
  <si>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</si>
  <si>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</si>
  <si>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</si>
  <si>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</si>
  <si>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</si>
  <si>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</si>
  <si>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</si>
  <si>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</si>
  <si>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</si>
  <si>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</si>
  <si>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</si>
  <si>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</si>
  <si>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</si>
  <si>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</si>
  <si>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</si>
  <si>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</si>
  <si>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</si>
  <si>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</si>
  <si>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Accrued expenses and other</t>
  </si>
  <si>
    <t>Proceeds from sales and maturities  of marketable securities</t>
  </si>
  <si>
    <t xml:space="preserve">Proceeds from PPE and incentives </t>
  </si>
  <si>
    <t>Acquisitions, net cash acquired and other</t>
  </si>
  <si>
    <t>Principal payments of finance leases</t>
  </si>
  <si>
    <t>Principal repayments of finance obligations</t>
  </si>
  <si>
    <t>Foreign currency effect on cash, cash equivalents and restricted cash</t>
  </si>
  <si>
    <t>Net debt Issued</t>
  </si>
  <si>
    <t>Stock price</t>
  </si>
  <si>
    <t xml:space="preserve">The company doesn’t pay divident </t>
  </si>
  <si>
    <t>Could you please let me know if I have calculated correlty.</t>
  </si>
  <si>
    <t>Market capitalsation</t>
  </si>
  <si>
    <t>Sales (each category and net sales)</t>
  </si>
  <si>
    <t>Net Sales</t>
  </si>
  <si>
    <t>Gross profits</t>
  </si>
  <si>
    <t>Current Assets</t>
  </si>
  <si>
    <t>Non-current assets</t>
  </si>
  <si>
    <t>Current Liabilities</t>
  </si>
  <si>
    <t>Non-current Liabilities</t>
  </si>
  <si>
    <t>Total Liabilities</t>
  </si>
  <si>
    <t>Shareholders Equity</t>
  </si>
  <si>
    <t>Total  Shareholders Equity+ Total Liabilities</t>
  </si>
  <si>
    <t>COGS (Cost of goods sold)</t>
  </si>
  <si>
    <t>Net profit</t>
  </si>
  <si>
    <t>Amazon</t>
  </si>
  <si>
    <t>Operational expense have to be divided by 365</t>
  </si>
  <si>
    <t>(Accounts Payable / COGS) x 365</t>
  </si>
  <si>
    <t>Do not multiply by 1000 in this case</t>
  </si>
  <si>
    <t>Correct</t>
  </si>
  <si>
    <t>Use diluted EPS instead of Basic</t>
  </si>
  <si>
    <t>EV/EBITDA</t>
  </si>
  <si>
    <t>Do not divide by 1000 in this case</t>
  </si>
  <si>
    <t>FCFE = Cash from operations - Capex + Net debt issued, because the purchase of PPE in cash flow is - sign, we use the + sign in the formula, if you use - sign on it, it turns positive</t>
  </si>
  <si>
    <t>Debt issued should be taken from cash flow statement</t>
  </si>
  <si>
    <t>Feedback</t>
  </si>
  <si>
    <t>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</si>
</sst>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1" applyNumberFormat="1" applyFont="1" applyBorder="1"/>
    <xf numFmtId="165" fontId="1" fillId="0" borderId="0" xfId="1" applyNumberFormat="1" applyFont="1" applyBorder="1"/>
    <xf numFmtId="0" fontId="8" fillId="0" borderId="2" xfId="0" applyFont="1" applyBorder="1"/>
    <xf numFmtId="165" fontId="1" fillId="0" borderId="2" xfId="1" applyNumberFormat="1" applyFont="1" applyBorder="1"/>
    <xf numFmtId="0" fontId="0" fillId="0" borderId="2" xfId="0" applyBorder="1"/>
    <xf numFmtId="165" fontId="0" fillId="0" borderId="0" xfId="0" applyNumberFormat="1"/>
    <xf numFmtId="0" fontId="0" fillId="0" borderId="3" xfId="0" applyBorder="1" applyAlignment="1">
      <alignment horizontal="left" indent="1"/>
    </xf>
    <xf numFmtId="165" fontId="0" fillId="0" borderId="3" xfId="1" applyNumberFormat="1" applyFont="1" applyBorder="1"/>
    <xf numFmtId="0" fontId="0" fillId="0" borderId="3" xfId="0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165" fontId="2" fillId="0" borderId="4" xfId="1" applyNumberFormat="1" applyFont="1" applyBorder="1"/>
    <xf numFmtId="165" fontId="2" fillId="0" borderId="3" xfId="1" applyNumberFormat="1" applyFont="1" applyBorder="1"/>
    <xf numFmtId="0" fontId="2" fillId="0" borderId="3" xfId="0" applyFont="1" applyBorder="1"/>
    <xf numFmtId="2" fontId="0" fillId="0" borderId="0" xfId="0" applyNumberFormat="1"/>
    <xf numFmtId="10" fontId="0" fillId="0" borderId="0" xfId="0" applyNumberFormat="1"/>
    <xf numFmtId="4" fontId="0" fillId="0" borderId="0" xfId="1" applyNumberFormat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7" sqref="A17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11" workbookViewId="0">
      <selection activeCell="D29" sqref="D2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169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3" t="s">
        <v>10</v>
      </c>
      <c r="B2" s="43"/>
      <c r="C2" s="43"/>
      <c r="D2" s="43"/>
    </row>
    <row r="3" spans="1:10" x14ac:dyDescent="0.3">
      <c r="B3" s="42" t="s">
        <v>56</v>
      </c>
      <c r="C3" s="42"/>
      <c r="D3" s="42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63</v>
      </c>
    </row>
    <row r="6" spans="1:10" x14ac:dyDescent="0.3">
      <c r="A6" s="1" t="s">
        <v>64</v>
      </c>
      <c r="B6" s="10">
        <v>242901</v>
      </c>
      <c r="C6" s="10">
        <v>241787</v>
      </c>
      <c r="D6" s="10">
        <v>215915</v>
      </c>
    </row>
    <row r="7" spans="1:10" x14ac:dyDescent="0.3">
      <c r="A7" s="1" t="s">
        <v>65</v>
      </c>
      <c r="B7" s="10">
        <v>271082</v>
      </c>
      <c r="C7" s="10">
        <v>228035</v>
      </c>
      <c r="D7" s="10">
        <v>170149</v>
      </c>
    </row>
    <row r="8" spans="1:10" x14ac:dyDescent="0.3">
      <c r="A8" s="11" t="s">
        <v>66</v>
      </c>
      <c r="B8" s="12">
        <f>B6+B7</f>
        <v>513983</v>
      </c>
      <c r="C8" s="12">
        <f t="shared" ref="C8:D8" si="0">C6+C7</f>
        <v>469822</v>
      </c>
      <c r="D8" s="12">
        <f t="shared" si="0"/>
        <v>386064</v>
      </c>
    </row>
    <row r="9" spans="1:10" x14ac:dyDescent="0.3">
      <c r="A9" t="s">
        <v>67</v>
      </c>
      <c r="B9" s="10">
        <v>288381</v>
      </c>
      <c r="C9" s="10">
        <v>272344</v>
      </c>
      <c r="D9" s="10">
        <v>233307</v>
      </c>
    </row>
    <row r="10" spans="1:10" x14ac:dyDescent="0.3">
      <c r="A10" s="11"/>
      <c r="B10" s="12"/>
      <c r="C10" s="12"/>
      <c r="D10" s="12"/>
    </row>
    <row r="11" spans="1:10" x14ac:dyDescent="0.3">
      <c r="A11" s="11" t="s">
        <v>11</v>
      </c>
      <c r="B11" s="12">
        <f>B8-B9</f>
        <v>225602</v>
      </c>
      <c r="C11" s="12">
        <f t="shared" ref="C11:D11" si="1">C8-C9</f>
        <v>197478</v>
      </c>
      <c r="D11" s="12">
        <f t="shared" si="1"/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t="s">
        <v>69</v>
      </c>
      <c r="B13" s="10">
        <v>84299</v>
      </c>
      <c r="C13" s="10">
        <v>75111</v>
      </c>
      <c r="D13" s="10">
        <v>58517</v>
      </c>
    </row>
    <row r="14" spans="1:10" x14ac:dyDescent="0.3">
      <c r="A14" t="s">
        <v>70</v>
      </c>
      <c r="B14" s="10">
        <v>73213</v>
      </c>
      <c r="C14" s="10">
        <v>56052</v>
      </c>
      <c r="D14" s="10">
        <v>42740</v>
      </c>
    </row>
    <row r="15" spans="1:10" x14ac:dyDescent="0.3">
      <c r="A15" t="s">
        <v>71</v>
      </c>
      <c r="B15" s="10">
        <v>42238</v>
      </c>
      <c r="C15" s="10">
        <v>32551</v>
      </c>
      <c r="D15" s="10">
        <v>22008</v>
      </c>
    </row>
    <row r="16" spans="1:10" x14ac:dyDescent="0.3">
      <c r="A16" t="s">
        <v>72</v>
      </c>
      <c r="B16" s="10">
        <v>11891</v>
      </c>
      <c r="C16" s="10">
        <v>8823</v>
      </c>
      <c r="D16" s="10">
        <v>6668</v>
      </c>
    </row>
    <row r="17" spans="1:4" x14ac:dyDescent="0.3">
      <c r="A17" t="s">
        <v>73</v>
      </c>
      <c r="B17" s="10">
        <v>1263</v>
      </c>
      <c r="C17" s="10">
        <v>62</v>
      </c>
      <c r="D17" s="10">
        <v>-75</v>
      </c>
    </row>
    <row r="18" spans="1:4" x14ac:dyDescent="0.3">
      <c r="A18" s="11" t="s">
        <v>74</v>
      </c>
      <c r="B18" s="12">
        <f>SUM(B13:B17)</f>
        <v>212904</v>
      </c>
      <c r="C18" s="12">
        <f t="shared" ref="C18:D18" si="2">SUM(C13:C17)</f>
        <v>172599</v>
      </c>
      <c r="D18" s="12">
        <f t="shared" si="2"/>
        <v>129858</v>
      </c>
    </row>
    <row r="19" spans="1:4" s="11" customFormat="1" x14ac:dyDescent="0.3">
      <c r="A19" s="11" t="s">
        <v>75</v>
      </c>
      <c r="B19" s="12">
        <f>B11-B18</f>
        <v>12698</v>
      </c>
      <c r="C19" s="12">
        <f t="shared" ref="C19:D19" si="3">C11-C18</f>
        <v>24879</v>
      </c>
      <c r="D19" s="12">
        <f t="shared" si="3"/>
        <v>22899</v>
      </c>
    </row>
    <row r="20" spans="1:4" s="9" customFormat="1" x14ac:dyDescent="0.3">
      <c r="A20" t="s">
        <v>76</v>
      </c>
      <c r="B20" s="25">
        <v>989</v>
      </c>
      <c r="C20" s="25">
        <v>448</v>
      </c>
      <c r="D20" s="25">
        <v>555</v>
      </c>
    </row>
    <row r="21" spans="1:4" x14ac:dyDescent="0.3">
      <c r="A21" t="s">
        <v>77</v>
      </c>
      <c r="B21" s="10">
        <v>-2367</v>
      </c>
      <c r="C21" s="10">
        <v>-1809</v>
      </c>
      <c r="D21" s="10">
        <v>-1647</v>
      </c>
    </row>
    <row r="22" spans="1:4" x14ac:dyDescent="0.3">
      <c r="A22" t="s">
        <v>78</v>
      </c>
      <c r="B22" s="10">
        <v>-16806</v>
      </c>
      <c r="C22" s="10">
        <v>14633</v>
      </c>
      <c r="D22" s="10">
        <v>2371</v>
      </c>
    </row>
    <row r="23" spans="1:4" ht="15" thickBot="1" x14ac:dyDescent="0.35">
      <c r="A23" s="13" t="s">
        <v>79</v>
      </c>
      <c r="B23" s="14">
        <f>SUM(B20:B22)</f>
        <v>-18184</v>
      </c>
      <c r="C23" s="14">
        <f t="shared" ref="C23:D23" si="4">SUM(C20:C22)</f>
        <v>13272</v>
      </c>
      <c r="D23" s="14">
        <f t="shared" si="4"/>
        <v>1279</v>
      </c>
    </row>
    <row r="24" spans="1:4" ht="15" thickTop="1" x14ac:dyDescent="0.3">
      <c r="A24" s="9" t="s">
        <v>80</v>
      </c>
      <c r="B24" s="24">
        <f>B19+B23</f>
        <v>-5486</v>
      </c>
      <c r="C24" s="24">
        <f t="shared" ref="C24:D24" si="5">C19+C23</f>
        <v>38151</v>
      </c>
      <c r="D24" s="24">
        <f t="shared" si="5"/>
        <v>24178</v>
      </c>
    </row>
    <row r="25" spans="1:4" x14ac:dyDescent="0.3">
      <c r="A25" t="s">
        <v>81</v>
      </c>
      <c r="B25" s="25">
        <v>-3217</v>
      </c>
      <c r="C25" s="25">
        <v>4791</v>
      </c>
      <c r="D25" s="25">
        <v>2863</v>
      </c>
    </row>
    <row r="26" spans="1:4" x14ac:dyDescent="0.3">
      <c r="A26" t="s">
        <v>82</v>
      </c>
      <c r="B26" s="25">
        <v>-3</v>
      </c>
      <c r="C26" s="25">
        <v>4</v>
      </c>
      <c r="D26" s="25">
        <v>16</v>
      </c>
    </row>
    <row r="27" spans="1:4" s="28" customFormat="1" ht="15" thickBot="1" x14ac:dyDescent="0.35">
      <c r="A27" s="26" t="s">
        <v>83</v>
      </c>
      <c r="B27" s="27">
        <f>B24-B25+B26</f>
        <v>-2272</v>
      </c>
      <c r="C27" s="27">
        <f t="shared" ref="C27:D27" si="6">C24-C25+C26</f>
        <v>33364</v>
      </c>
      <c r="D27" s="27">
        <f t="shared" si="6"/>
        <v>21331</v>
      </c>
    </row>
    <row r="28" spans="1:4" ht="15" thickTop="1" x14ac:dyDescent="0.3">
      <c r="A28" t="s">
        <v>84</v>
      </c>
      <c r="B28" s="25"/>
      <c r="C28" s="25"/>
      <c r="D28" s="25"/>
    </row>
    <row r="29" spans="1:4" x14ac:dyDescent="0.3">
      <c r="A29" s="1" t="s">
        <v>85</v>
      </c>
      <c r="B29" s="15">
        <v>-0.27</v>
      </c>
      <c r="C29" s="15">
        <v>3.3</v>
      </c>
      <c r="D29" s="15">
        <v>2.13</v>
      </c>
    </row>
    <row r="30" spans="1:4" x14ac:dyDescent="0.3">
      <c r="A30" s="1" t="s">
        <v>86</v>
      </c>
      <c r="B30" s="15">
        <v>-0.27</v>
      </c>
      <c r="C30" s="15">
        <v>3.24</v>
      </c>
      <c r="D30" s="15">
        <v>2.09</v>
      </c>
    </row>
    <row r="31" spans="1:4" x14ac:dyDescent="0.3">
      <c r="A31" t="s">
        <v>87</v>
      </c>
    </row>
    <row r="32" spans="1:4" x14ac:dyDescent="0.3">
      <c r="A32" s="1" t="s">
        <v>85</v>
      </c>
      <c r="B32" s="16">
        <v>10189</v>
      </c>
      <c r="C32" s="16">
        <v>10117</v>
      </c>
      <c r="D32" s="16">
        <v>10005</v>
      </c>
    </row>
    <row r="33" spans="1:5" x14ac:dyDescent="0.3">
      <c r="A33" s="1" t="s">
        <v>86</v>
      </c>
      <c r="B33" s="16">
        <v>10189</v>
      </c>
      <c r="C33" s="16">
        <v>10296</v>
      </c>
      <c r="D33" s="16">
        <v>10198</v>
      </c>
    </row>
    <row r="36" spans="1:5" x14ac:dyDescent="0.3">
      <c r="A36" s="43" t="s">
        <v>12</v>
      </c>
      <c r="B36" s="43"/>
      <c r="C36" s="43"/>
      <c r="D36" s="43"/>
    </row>
    <row r="37" spans="1:5" x14ac:dyDescent="0.3">
      <c r="B37" s="42" t="s">
        <v>57</v>
      </c>
      <c r="C37" s="42"/>
      <c r="D37" s="42"/>
    </row>
    <row r="38" spans="1:5" x14ac:dyDescent="0.3">
      <c r="B38" s="9">
        <v>2022</v>
      </c>
      <c r="C38" s="9">
        <v>2021</v>
      </c>
      <c r="D38" s="9">
        <v>2020</v>
      </c>
    </row>
    <row r="39" spans="1:5" x14ac:dyDescent="0.3">
      <c r="A39" t="s">
        <v>88</v>
      </c>
    </row>
    <row r="40" spans="1:5" x14ac:dyDescent="0.3">
      <c r="A40" s="1" t="s">
        <v>89</v>
      </c>
      <c r="B40" s="29">
        <v>53888</v>
      </c>
      <c r="C40" s="29">
        <v>36220</v>
      </c>
      <c r="D40" s="29">
        <v>42122</v>
      </c>
      <c r="E40" s="29"/>
    </row>
    <row r="41" spans="1:5" x14ac:dyDescent="0.3">
      <c r="A41" s="1" t="s">
        <v>90</v>
      </c>
      <c r="B41" s="10">
        <v>16138</v>
      </c>
      <c r="C41" s="10">
        <v>59829</v>
      </c>
      <c r="D41" s="10">
        <v>42274</v>
      </c>
    </row>
    <row r="42" spans="1:5" x14ac:dyDescent="0.3">
      <c r="A42" s="1" t="s">
        <v>91</v>
      </c>
      <c r="B42" s="10">
        <v>42360</v>
      </c>
      <c r="C42" s="10">
        <v>32891</v>
      </c>
      <c r="D42" s="10">
        <v>24542</v>
      </c>
    </row>
    <row r="43" spans="1:5" s="32" customFormat="1" x14ac:dyDescent="0.3">
      <c r="A43" s="30" t="s">
        <v>92</v>
      </c>
      <c r="B43" s="31">
        <v>34405</v>
      </c>
      <c r="C43" s="31">
        <v>32640</v>
      </c>
      <c r="D43" s="31">
        <v>23795</v>
      </c>
    </row>
    <row r="44" spans="1:5" x14ac:dyDescent="0.3">
      <c r="A44" s="33" t="s">
        <v>93</v>
      </c>
      <c r="B44" s="17">
        <f>SUM(B40:B43)</f>
        <v>146791</v>
      </c>
      <c r="C44" s="17">
        <f t="shared" ref="C44:D44" si="7">SUM(C40:C43)</f>
        <v>161580</v>
      </c>
      <c r="D44" s="17">
        <f t="shared" si="7"/>
        <v>132733</v>
      </c>
    </row>
    <row r="45" spans="1:5" x14ac:dyDescent="0.3">
      <c r="A45" t="s">
        <v>94</v>
      </c>
      <c r="B45" s="12"/>
      <c r="C45" s="12"/>
      <c r="D45" s="12"/>
    </row>
    <row r="46" spans="1:5" x14ac:dyDescent="0.3">
      <c r="A46" s="1" t="s">
        <v>95</v>
      </c>
      <c r="B46" s="10">
        <v>186715</v>
      </c>
      <c r="C46" s="10">
        <v>160281</v>
      </c>
      <c r="D46" s="10">
        <v>113114</v>
      </c>
    </row>
    <row r="47" spans="1:5" x14ac:dyDescent="0.3">
      <c r="A47" s="1" t="s">
        <v>97</v>
      </c>
      <c r="B47" s="10">
        <v>66123</v>
      </c>
      <c r="C47" s="10">
        <v>56082</v>
      </c>
      <c r="D47" s="10">
        <v>37553</v>
      </c>
    </row>
    <row r="48" spans="1:5" x14ac:dyDescent="0.3">
      <c r="A48" s="1" t="s">
        <v>98</v>
      </c>
      <c r="B48" s="10">
        <v>20228</v>
      </c>
      <c r="C48" s="10">
        <v>15371</v>
      </c>
      <c r="D48" s="10">
        <v>15017</v>
      </c>
    </row>
    <row r="49" spans="1:4" x14ac:dyDescent="0.3">
      <c r="A49" s="1" t="s">
        <v>96</v>
      </c>
      <c r="B49" s="10">
        <v>45758</v>
      </c>
      <c r="C49" s="10">
        <v>27235</v>
      </c>
      <c r="D49" s="10">
        <v>22778</v>
      </c>
    </row>
    <row r="50" spans="1:4" ht="12.6" customHeight="1" x14ac:dyDescent="0.3">
      <c r="A50" s="11" t="s">
        <v>99</v>
      </c>
      <c r="B50" s="12">
        <f>SUM(B46:B49)</f>
        <v>318824</v>
      </c>
      <c r="C50" s="12">
        <f t="shared" ref="C50:D50" si="8">SUM(C46:C49)</f>
        <v>258969</v>
      </c>
      <c r="D50" s="12">
        <f t="shared" si="8"/>
        <v>188462</v>
      </c>
    </row>
    <row r="51" spans="1:4" ht="15" thickBot="1" x14ac:dyDescent="0.35">
      <c r="A51" s="13" t="s">
        <v>100</v>
      </c>
      <c r="B51" s="14">
        <f>B44+B50</f>
        <v>465615</v>
      </c>
      <c r="C51" s="14">
        <f t="shared" ref="C51:D51" si="9">C44+C50</f>
        <v>420549</v>
      </c>
      <c r="D51" s="14">
        <f t="shared" si="9"/>
        <v>321195</v>
      </c>
    </row>
    <row r="52" spans="1:4" ht="15" thickTop="1" x14ac:dyDescent="0.3"/>
    <row r="53" spans="1:4" x14ac:dyDescent="0.3">
      <c r="A53" t="s">
        <v>101</v>
      </c>
    </row>
    <row r="54" spans="1:4" x14ac:dyDescent="0.3">
      <c r="A54" s="1" t="s">
        <v>102</v>
      </c>
      <c r="B54" s="10">
        <v>79600</v>
      </c>
      <c r="C54" s="10">
        <v>78664</v>
      </c>
      <c r="D54" s="10">
        <v>72539</v>
      </c>
    </row>
    <row r="55" spans="1:4" x14ac:dyDescent="0.3">
      <c r="A55" s="1" t="s">
        <v>105</v>
      </c>
      <c r="B55" s="10">
        <v>62566</v>
      </c>
      <c r="C55" s="10">
        <v>51775</v>
      </c>
      <c r="D55" s="10">
        <v>44138</v>
      </c>
    </row>
    <row r="56" spans="1:4" x14ac:dyDescent="0.3">
      <c r="A56" s="1" t="s">
        <v>103</v>
      </c>
      <c r="B56" s="10">
        <v>13227</v>
      </c>
      <c r="C56" s="10">
        <v>11827</v>
      </c>
      <c r="D56" s="10">
        <v>9708</v>
      </c>
    </row>
    <row r="57" spans="1:4" x14ac:dyDescent="0.3">
      <c r="A57" s="11" t="s">
        <v>106</v>
      </c>
      <c r="B57" s="12">
        <f>SUM(B54:B56)</f>
        <v>155393</v>
      </c>
      <c r="C57" s="12">
        <f t="shared" ref="C57:D57" si="10">SUM(C54:C56)</f>
        <v>142266</v>
      </c>
      <c r="D57" s="12">
        <f t="shared" si="10"/>
        <v>126385</v>
      </c>
    </row>
    <row r="58" spans="1:4" x14ac:dyDescent="0.3">
      <c r="A58" t="s">
        <v>107</v>
      </c>
      <c r="B58" s="10"/>
      <c r="C58" s="10"/>
      <c r="D58" s="10"/>
    </row>
    <row r="59" spans="1:4" x14ac:dyDescent="0.3">
      <c r="A59" s="1" t="s">
        <v>111</v>
      </c>
      <c r="B59" s="10">
        <v>72968</v>
      </c>
      <c r="C59" s="10">
        <v>67651</v>
      </c>
      <c r="D59" s="10">
        <v>52573</v>
      </c>
    </row>
    <row r="60" spans="1:4" x14ac:dyDescent="0.3">
      <c r="A60" s="1" t="s">
        <v>104</v>
      </c>
      <c r="B60" s="10">
        <v>67150</v>
      </c>
      <c r="C60" s="10">
        <v>48744</v>
      </c>
      <c r="D60" s="10">
        <v>31816</v>
      </c>
    </row>
    <row r="61" spans="1:4" s="32" customFormat="1" x14ac:dyDescent="0.3">
      <c r="A61" s="30" t="s">
        <v>108</v>
      </c>
      <c r="B61" s="31">
        <v>21121</v>
      </c>
      <c r="C61" s="31">
        <v>23643</v>
      </c>
      <c r="D61" s="31">
        <v>17017</v>
      </c>
    </row>
    <row r="62" spans="1:4" x14ac:dyDescent="0.3">
      <c r="A62" s="34" t="s">
        <v>109</v>
      </c>
      <c r="B62" s="17">
        <f>SUM(B59:B61)</f>
        <v>161239</v>
      </c>
      <c r="C62" s="17">
        <f t="shared" ref="C62:D62" si="11">SUM(C59:C61)</f>
        <v>140038</v>
      </c>
      <c r="D62" s="17">
        <f t="shared" si="11"/>
        <v>101406</v>
      </c>
    </row>
    <row r="63" spans="1:4" x14ac:dyDescent="0.3">
      <c r="A63" s="11" t="s">
        <v>110</v>
      </c>
      <c r="B63" s="12">
        <f>B57+B62</f>
        <v>316632</v>
      </c>
      <c r="C63" s="12">
        <f t="shared" ref="C63:D63" si="12">C57+C62</f>
        <v>282304</v>
      </c>
      <c r="D63" s="12">
        <f t="shared" si="12"/>
        <v>227791</v>
      </c>
    </row>
    <row r="64" spans="1:4" x14ac:dyDescent="0.3">
      <c r="B64" s="10"/>
      <c r="C64" s="10"/>
      <c r="D64" s="10"/>
    </row>
    <row r="65" spans="1:4" x14ac:dyDescent="0.3">
      <c r="A65" t="s">
        <v>112</v>
      </c>
      <c r="B65" s="10"/>
      <c r="C65" s="10"/>
      <c r="D65" s="10"/>
    </row>
    <row r="66" spans="1:4" x14ac:dyDescent="0.3">
      <c r="A66" s="1" t="s">
        <v>113</v>
      </c>
      <c r="B66" s="10">
        <v>108</v>
      </c>
      <c r="C66" s="10">
        <v>106</v>
      </c>
      <c r="D66" s="10">
        <v>5</v>
      </c>
    </row>
    <row r="67" spans="1:4" x14ac:dyDescent="0.3">
      <c r="A67" s="1" t="s">
        <v>118</v>
      </c>
      <c r="B67" s="10">
        <v>-7837</v>
      </c>
      <c r="C67" s="10">
        <v>-1837</v>
      </c>
      <c r="D67" s="10">
        <v>-1837</v>
      </c>
    </row>
    <row r="68" spans="1:4" x14ac:dyDescent="0.3">
      <c r="A68" s="1" t="s">
        <v>119</v>
      </c>
      <c r="B68" s="10">
        <v>75066</v>
      </c>
      <c r="C68" s="10">
        <v>55437</v>
      </c>
      <c r="D68" s="10">
        <v>42865</v>
      </c>
    </row>
    <row r="69" spans="1:4" x14ac:dyDescent="0.3">
      <c r="A69" s="1" t="s">
        <v>114</v>
      </c>
      <c r="B69" s="10">
        <v>83193</v>
      </c>
      <c r="C69" s="10">
        <v>85915</v>
      </c>
      <c r="D69" s="10">
        <v>52551</v>
      </c>
    </row>
    <row r="70" spans="1:4" x14ac:dyDescent="0.3">
      <c r="A70" s="1" t="s">
        <v>115</v>
      </c>
      <c r="B70" s="10">
        <v>-4487</v>
      </c>
      <c r="C70" s="10">
        <v>-1376</v>
      </c>
      <c r="D70" s="10">
        <v>-180</v>
      </c>
    </row>
    <row r="71" spans="1:4" x14ac:dyDescent="0.3">
      <c r="A71" s="11" t="s">
        <v>116</v>
      </c>
      <c r="B71" s="12">
        <f>SUM(B66:B70)</f>
        <v>146043</v>
      </c>
      <c r="C71" s="12">
        <f t="shared" ref="C71:D71" si="13">SUM(C66:C70)</f>
        <v>138245</v>
      </c>
      <c r="D71" s="12">
        <f t="shared" si="13"/>
        <v>93404</v>
      </c>
    </row>
    <row r="72" spans="1:4" ht="15" thickBot="1" x14ac:dyDescent="0.35">
      <c r="A72" s="13" t="s">
        <v>117</v>
      </c>
      <c r="B72" s="14">
        <f>B71+B63</f>
        <v>462675</v>
      </c>
      <c r="C72" s="14">
        <f t="shared" ref="C72:D72" si="14">C71+C63</f>
        <v>420549</v>
      </c>
      <c r="D72" s="14">
        <f t="shared" si="14"/>
        <v>321195</v>
      </c>
    </row>
    <row r="73" spans="1:4" ht="15" thickTop="1" x14ac:dyDescent="0.3"/>
    <row r="74" spans="1:4" x14ac:dyDescent="0.3">
      <c r="A74" s="43" t="s">
        <v>13</v>
      </c>
      <c r="B74" s="43"/>
      <c r="C74" s="43"/>
      <c r="D74" s="43"/>
    </row>
    <row r="75" spans="1:4" x14ac:dyDescent="0.3">
      <c r="B75" s="42" t="s">
        <v>56</v>
      </c>
      <c r="C75" s="42"/>
      <c r="D75" s="42"/>
    </row>
    <row r="76" spans="1:4" x14ac:dyDescent="0.3">
      <c r="B76" s="9">
        <v>2022</v>
      </c>
      <c r="C76" s="9">
        <v>2021</v>
      </c>
      <c r="D76" s="9">
        <v>2020</v>
      </c>
    </row>
    <row r="77" spans="1:4" x14ac:dyDescent="0.3">
      <c r="A77" s="9" t="s">
        <v>120</v>
      </c>
    </row>
    <row r="78" spans="1:4" x14ac:dyDescent="0.3">
      <c r="A78" t="s">
        <v>121</v>
      </c>
      <c r="B78" s="17">
        <v>36477</v>
      </c>
      <c r="C78" s="17">
        <v>42337</v>
      </c>
      <c r="D78" s="17">
        <v>36410</v>
      </c>
    </row>
    <row r="79" spans="1:4" x14ac:dyDescent="0.3">
      <c r="A79" s="18" t="s">
        <v>122</v>
      </c>
      <c r="B79" s="10">
        <v>-2722</v>
      </c>
      <c r="C79" s="10">
        <v>33364</v>
      </c>
      <c r="D79" s="10">
        <v>21331</v>
      </c>
    </row>
    <row r="80" spans="1:4" x14ac:dyDescent="0.3">
      <c r="A80" s="1" t="s">
        <v>123</v>
      </c>
      <c r="B80" s="17"/>
      <c r="C80" s="17"/>
      <c r="D80" s="17"/>
    </row>
    <row r="81" spans="1:4" x14ac:dyDescent="0.3">
      <c r="A81" s="19" t="s">
        <v>124</v>
      </c>
      <c r="B81" s="10">
        <v>41921</v>
      </c>
      <c r="C81" s="10">
        <v>34433</v>
      </c>
      <c r="D81" s="10">
        <v>25180</v>
      </c>
    </row>
    <row r="82" spans="1:4" x14ac:dyDescent="0.3">
      <c r="A82" s="19" t="s">
        <v>125</v>
      </c>
      <c r="B82" s="10">
        <v>19621</v>
      </c>
      <c r="C82" s="10">
        <v>12757</v>
      </c>
      <c r="D82" s="10">
        <v>9208</v>
      </c>
    </row>
    <row r="83" spans="1:4" x14ac:dyDescent="0.3">
      <c r="A83" s="19" t="s">
        <v>126</v>
      </c>
      <c r="B83" s="10">
        <v>-8148</v>
      </c>
      <c r="C83" s="10">
        <v>-14306</v>
      </c>
      <c r="D83" s="10">
        <v>-2582</v>
      </c>
    </row>
    <row r="84" spans="1:4" x14ac:dyDescent="0.3">
      <c r="A84" s="19" t="s">
        <v>127</v>
      </c>
      <c r="B84" s="10">
        <v>16966</v>
      </c>
      <c r="C84" s="10">
        <v>-310</v>
      </c>
      <c r="D84" s="10">
        <v>-554</v>
      </c>
    </row>
    <row r="85" spans="1:4" x14ac:dyDescent="0.3">
      <c r="A85" t="s">
        <v>128</v>
      </c>
      <c r="B85" s="10"/>
      <c r="C85" s="10"/>
      <c r="D85" s="10"/>
    </row>
    <row r="86" spans="1:4" x14ac:dyDescent="0.3">
      <c r="A86" s="1" t="s">
        <v>91</v>
      </c>
      <c r="B86" s="10">
        <v>-21897</v>
      </c>
      <c r="C86" s="10">
        <v>-18163</v>
      </c>
      <c r="D86" s="10">
        <v>-8169</v>
      </c>
    </row>
    <row r="87" spans="1:4" x14ac:dyDescent="0.3">
      <c r="A87" s="1" t="s">
        <v>92</v>
      </c>
      <c r="B87" s="10">
        <v>-2592</v>
      </c>
      <c r="C87" s="10">
        <v>-9487</v>
      </c>
      <c r="D87" s="10">
        <v>-2849</v>
      </c>
    </row>
    <row r="88" spans="1:4" x14ac:dyDescent="0.3">
      <c r="A88" s="1" t="s">
        <v>102</v>
      </c>
      <c r="B88" s="10">
        <v>2945</v>
      </c>
      <c r="C88" s="10">
        <v>3602</v>
      </c>
      <c r="D88" s="10">
        <v>17480</v>
      </c>
    </row>
    <row r="89" spans="1:4" x14ac:dyDescent="0.3">
      <c r="A89" s="1" t="s">
        <v>103</v>
      </c>
      <c r="B89" s="10">
        <v>2216</v>
      </c>
      <c r="C89" s="10">
        <v>2314</v>
      </c>
      <c r="D89" s="10">
        <v>1265</v>
      </c>
    </row>
    <row r="90" spans="1:4" x14ac:dyDescent="0.3">
      <c r="A90" s="1" t="s">
        <v>145</v>
      </c>
      <c r="B90" s="10">
        <v>-1558</v>
      </c>
      <c r="C90" s="10">
        <v>2123</v>
      </c>
      <c r="D90" s="10">
        <v>5754</v>
      </c>
    </row>
    <row r="91" spans="1:4" s="32" customFormat="1" x14ac:dyDescent="0.3">
      <c r="A91" s="33" t="s">
        <v>129</v>
      </c>
      <c r="B91" s="35">
        <f>SUM(B79:B90)</f>
        <v>46752</v>
      </c>
      <c r="C91" s="35">
        <f t="shared" ref="C91:D91" si="15">SUM(C79:C90)</f>
        <v>46327</v>
      </c>
      <c r="D91" s="35">
        <f t="shared" si="15"/>
        <v>66064</v>
      </c>
    </row>
    <row r="92" spans="1:4" x14ac:dyDescent="0.3">
      <c r="A92" s="9" t="s">
        <v>130</v>
      </c>
      <c r="C92" s="24"/>
      <c r="D92" s="24"/>
    </row>
    <row r="93" spans="1:4" x14ac:dyDescent="0.3">
      <c r="A93" s="1" t="s">
        <v>131</v>
      </c>
      <c r="B93" s="10">
        <v>-2565</v>
      </c>
      <c r="C93" s="10">
        <v>-60157</v>
      </c>
      <c r="D93" s="10">
        <v>-72479</v>
      </c>
    </row>
    <row r="94" spans="1:4" x14ac:dyDescent="0.3">
      <c r="A94" s="1" t="s">
        <v>146</v>
      </c>
      <c r="B94" s="10">
        <v>31601</v>
      </c>
      <c r="C94" s="10">
        <v>59384</v>
      </c>
      <c r="D94" s="10">
        <v>50237</v>
      </c>
    </row>
    <row r="95" spans="1:4" x14ac:dyDescent="0.3">
      <c r="A95" s="1" t="s">
        <v>132</v>
      </c>
      <c r="B95" s="10">
        <v>-63645</v>
      </c>
      <c r="C95" s="10">
        <v>-61053</v>
      </c>
      <c r="D95" s="10">
        <v>-40140</v>
      </c>
    </row>
    <row r="96" spans="1:4" x14ac:dyDescent="0.3">
      <c r="A96" s="1" t="s">
        <v>147</v>
      </c>
      <c r="B96" s="10">
        <v>5324</v>
      </c>
      <c r="C96" s="10">
        <v>5657</v>
      </c>
      <c r="D96" s="10">
        <v>5096</v>
      </c>
    </row>
    <row r="97" spans="1:4" s="32" customFormat="1" x14ac:dyDescent="0.3">
      <c r="A97" s="30" t="s">
        <v>148</v>
      </c>
      <c r="B97" s="31">
        <v>-8316</v>
      </c>
      <c r="C97" s="31">
        <v>-1985</v>
      </c>
      <c r="D97" s="31">
        <v>-2325</v>
      </c>
    </row>
    <row r="98" spans="1:4" s="37" customFormat="1" x14ac:dyDescent="0.3">
      <c r="A98" s="37" t="s">
        <v>133</v>
      </c>
      <c r="B98" s="36">
        <f>SUM(B93:B97)</f>
        <v>-37601</v>
      </c>
      <c r="C98" s="36">
        <f t="shared" ref="C98:D98" si="16">SUM(C93:C97)</f>
        <v>-58154</v>
      </c>
      <c r="D98" s="36">
        <f t="shared" si="16"/>
        <v>-59611</v>
      </c>
    </row>
    <row r="99" spans="1:4" x14ac:dyDescent="0.3">
      <c r="A99" s="9" t="s">
        <v>134</v>
      </c>
      <c r="B99" s="10"/>
      <c r="C99" s="10"/>
      <c r="D99" s="10"/>
    </row>
    <row r="100" spans="1:4" x14ac:dyDescent="0.3">
      <c r="A100" s="1" t="s">
        <v>135</v>
      </c>
      <c r="B100" s="10">
        <v>-6000</v>
      </c>
      <c r="C100" s="10"/>
      <c r="D100" s="10"/>
    </row>
    <row r="101" spans="1:4" x14ac:dyDescent="0.3">
      <c r="A101" s="1" t="s">
        <v>136</v>
      </c>
      <c r="B101" s="10">
        <v>21166</v>
      </c>
      <c r="C101" s="10">
        <v>19003</v>
      </c>
      <c r="D101" s="10">
        <v>10525</v>
      </c>
    </row>
    <row r="102" spans="1:4" x14ac:dyDescent="0.3">
      <c r="A102" s="1" t="s">
        <v>137</v>
      </c>
      <c r="B102" s="10">
        <v>-1258</v>
      </c>
      <c r="C102" s="10">
        <v>-1590</v>
      </c>
      <c r="D102" s="10">
        <v>-1553</v>
      </c>
    </row>
    <row r="103" spans="1:4" x14ac:dyDescent="0.3">
      <c r="A103" s="1" t="s">
        <v>138</v>
      </c>
      <c r="B103" s="10">
        <f>41553-37554</f>
        <v>3999</v>
      </c>
      <c r="C103" s="10">
        <f>7956-7753</f>
        <v>203</v>
      </c>
      <c r="D103" s="10">
        <f>6796-6177</f>
        <v>619</v>
      </c>
    </row>
    <row r="104" spans="1:4" x14ac:dyDescent="0.3">
      <c r="A104" s="1" t="s">
        <v>149</v>
      </c>
      <c r="B104" s="10">
        <v>-7941</v>
      </c>
      <c r="C104" s="10">
        <v>-11163</v>
      </c>
      <c r="D104" s="10">
        <v>-10642</v>
      </c>
    </row>
    <row r="105" spans="1:4" x14ac:dyDescent="0.3">
      <c r="A105" s="1" t="s">
        <v>150</v>
      </c>
      <c r="B105" s="10">
        <v>-248</v>
      </c>
      <c r="C105" s="10">
        <v>-162</v>
      </c>
      <c r="D105" s="10">
        <v>-53</v>
      </c>
    </row>
    <row r="106" spans="1:4" s="33" customFormat="1" x14ac:dyDescent="0.3">
      <c r="A106" s="33" t="s">
        <v>139</v>
      </c>
      <c r="B106" s="35">
        <f>SUM(B100:B105)</f>
        <v>9718</v>
      </c>
      <c r="C106" s="35">
        <f t="shared" ref="C106:D106" si="17">SUM(C100:C105)</f>
        <v>6291</v>
      </c>
      <c r="D106" s="35">
        <f t="shared" si="17"/>
        <v>-1104</v>
      </c>
    </row>
    <row r="107" spans="1:4" x14ac:dyDescent="0.3">
      <c r="A107" t="s">
        <v>151</v>
      </c>
      <c r="B107" s="10">
        <v>-1093</v>
      </c>
      <c r="C107" s="10">
        <v>-364</v>
      </c>
      <c r="D107" s="10">
        <v>618</v>
      </c>
    </row>
    <row r="108" spans="1:4" s="33" customFormat="1" x14ac:dyDescent="0.3">
      <c r="A108" s="33" t="s">
        <v>140</v>
      </c>
      <c r="B108" s="35">
        <f>B91+B98+B106+B107</f>
        <v>17776</v>
      </c>
      <c r="C108" s="35">
        <f t="shared" ref="C108:D108" si="18">C91+C98+C106+C107</f>
        <v>-5900</v>
      </c>
      <c r="D108" s="35">
        <f t="shared" si="18"/>
        <v>5967</v>
      </c>
    </row>
    <row r="109" spans="1:4" s="28" customFormat="1" ht="15" thickBot="1" x14ac:dyDescent="0.35">
      <c r="A109" s="13" t="s">
        <v>141</v>
      </c>
      <c r="B109" s="14">
        <f>B108+B78</f>
        <v>54253</v>
      </c>
      <c r="C109" s="14">
        <f t="shared" ref="C109:D109" si="19">C108+C78</f>
        <v>36437</v>
      </c>
      <c r="D109" s="14">
        <f t="shared" si="19"/>
        <v>42377</v>
      </c>
    </row>
    <row r="110" spans="1:4" ht="15" thickTop="1" x14ac:dyDescent="0.3">
      <c r="B110" s="10"/>
      <c r="C110" s="10"/>
      <c r="D110" s="10"/>
    </row>
    <row r="111" spans="1:4" x14ac:dyDescent="0.3">
      <c r="A111" t="s">
        <v>142</v>
      </c>
      <c r="B111" s="12"/>
      <c r="C111" s="12"/>
      <c r="D111" s="12"/>
    </row>
    <row r="112" spans="1:4" x14ac:dyDescent="0.3">
      <c r="A112" t="s">
        <v>143</v>
      </c>
      <c r="B112" s="12"/>
      <c r="C112" s="12"/>
      <c r="D112" s="12"/>
    </row>
    <row r="113" spans="1:4" ht="15" thickBot="1" x14ac:dyDescent="0.35">
      <c r="A113" t="s">
        <v>144</v>
      </c>
      <c r="B113" s="14"/>
      <c r="C113" s="14"/>
      <c r="D113" s="14"/>
    </row>
    <row r="114" spans="1:4" ht="15" thickTop="1" x14ac:dyDescent="0.3"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A116" t="s">
        <v>153</v>
      </c>
      <c r="B116" s="40">
        <v>136.54</v>
      </c>
      <c r="C116" s="40">
        <v>123.5</v>
      </c>
      <c r="D116" s="40">
        <v>164.58</v>
      </c>
    </row>
    <row r="117" spans="1:4" x14ac:dyDescent="0.3">
      <c r="B117" s="10"/>
      <c r="C117" s="10"/>
      <c r="D117" s="10"/>
    </row>
  </sheetData>
  <mergeCells count="6">
    <mergeCell ref="B75:D75"/>
    <mergeCell ref="A2:D2"/>
    <mergeCell ref="B3:D3"/>
    <mergeCell ref="A36:D36"/>
    <mergeCell ref="B37:D37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"/>
  <sheetViews>
    <sheetView tabSelected="1" topLeftCell="A10" workbookViewId="0">
      <selection activeCell="F10" sqref="F10"/>
    </sheetView>
  </sheetViews>
  <sheetFormatPr defaultRowHeight="14.4" x14ac:dyDescent="0.3"/>
  <cols>
    <col min="1" max="1" width="4.6640625" customWidth="1"/>
    <col min="2" max="2" width="44.88671875" customWidth="1"/>
    <col min="3" max="4" width="10.5546875" bestFit="1" customWidth="1"/>
    <col min="5" max="5" width="11" bestFit="1" customWidth="1"/>
    <col min="6" max="6" width="53.6640625" customWidth="1"/>
  </cols>
  <sheetData>
    <row r="1" spans="1:10" ht="60" customHeight="1" x14ac:dyDescent="0.5">
      <c r="A1" s="7"/>
      <c r="B1" s="20" t="s">
        <v>58</v>
      </c>
      <c r="C1" s="21"/>
      <c r="D1" s="21"/>
      <c r="E1" s="21"/>
      <c r="F1" s="41" t="s">
        <v>179</v>
      </c>
      <c r="G1" s="21"/>
      <c r="H1" s="21"/>
      <c r="I1" s="21"/>
      <c r="J1" s="21"/>
    </row>
    <row r="2" spans="1:10" x14ac:dyDescent="0.3">
      <c r="C2" s="42" t="s">
        <v>59</v>
      </c>
      <c r="D2" s="42"/>
      <c r="E2" s="42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8">
        <f>'Financial Statements'!B44/'Financial Statements'!B57</f>
        <v>0.9446435811136924</v>
      </c>
      <c r="D5" s="38">
        <f>'Financial Statements'!C44/'Financial Statements'!C57</f>
        <v>1.1357597739445826</v>
      </c>
      <c r="E5" s="38">
        <f>'Financial Statements'!D44/'Financial Statements'!D57</f>
        <v>1.0502274795268425</v>
      </c>
    </row>
    <row r="6" spans="1:10" x14ac:dyDescent="0.3">
      <c r="A6" s="22">
        <f t="shared" ref="A6:A13" si="0">+A5+0.1</f>
        <v>1.2000000000000002</v>
      </c>
      <c r="B6" s="1" t="s">
        <v>16</v>
      </c>
      <c r="C6" s="38">
        <f>('Financial Statements'!B44-'Financial Statements'!B43)/'Financial Statements'!B57</f>
        <v>0.72323721145740161</v>
      </c>
      <c r="D6" s="38">
        <f>('Financial Statements'!C44-'Financial Statements'!C43)/'Financial Statements'!C57</f>
        <v>0.90633039517523517</v>
      </c>
      <c r="E6" s="38">
        <f>('Financial Statements'!D44-'Financial Statements'!D43)/'Financial Statements'!D57</f>
        <v>0.86195355461486722</v>
      </c>
    </row>
    <row r="7" spans="1:10" x14ac:dyDescent="0.3">
      <c r="A7" s="22">
        <f t="shared" si="0"/>
        <v>1.3000000000000003</v>
      </c>
      <c r="B7" s="1" t="s">
        <v>17</v>
      </c>
      <c r="C7" s="38">
        <f>'Financial Statements'!B40/'Financial Statements'!B57</f>
        <v>0.34678524772673158</v>
      </c>
      <c r="D7" s="38">
        <f>'Financial Statements'!C40/'Financial Statements'!C57</f>
        <v>0.25459350793583851</v>
      </c>
      <c r="E7" s="38">
        <f>'Financial Statements'!D40/'Financial Statements'!D57</f>
        <v>0.33328322190133325</v>
      </c>
    </row>
    <row r="8" spans="1:10" x14ac:dyDescent="0.3">
      <c r="A8" s="22">
        <f t="shared" si="0"/>
        <v>1.4000000000000004</v>
      </c>
      <c r="B8" s="1" t="s">
        <v>18</v>
      </c>
      <c r="C8" s="38">
        <f>'Financial Statements'!B44/(('Financial Statements'!B18-'Financial Statements'!B81)/365)</f>
        <v>313.35697116087567</v>
      </c>
      <c r="D8" s="38">
        <f>'Financial Statements'!C44/(('Financial Statements'!C18-'Financial Statements'!C81)/365)</f>
        <v>426.85392933138399</v>
      </c>
      <c r="E8" s="38">
        <f>'Financial Statements'!D44/(('Financial Statements'!D18-'Financial Statements'!D81)/365)</f>
        <v>462.82451900112727</v>
      </c>
      <c r="F8" t="s">
        <v>170</v>
      </c>
    </row>
    <row r="9" spans="1:10" x14ac:dyDescent="0.3">
      <c r="A9" s="22">
        <f t="shared" si="0"/>
        <v>1.5000000000000004</v>
      </c>
      <c r="B9" s="1" t="s">
        <v>19</v>
      </c>
      <c r="C9" s="38">
        <f>'Financial Statements'!B43/'Financial Statements'!B9*365</f>
        <v>43.545951362953872</v>
      </c>
      <c r="D9" s="38">
        <f>'Financial Statements'!C43/'Financial Statements'!C9*365</f>
        <v>43.744675851129458</v>
      </c>
      <c r="E9" s="38">
        <f>'Financial Statements'!D43/'Financial Statements'!D9*365</f>
        <v>37.226379834295585</v>
      </c>
    </row>
    <row r="10" spans="1:10" x14ac:dyDescent="0.3">
      <c r="A10" s="22">
        <f t="shared" si="0"/>
        <v>1.6000000000000005</v>
      </c>
      <c r="B10" s="1" t="s">
        <v>20</v>
      </c>
      <c r="C10" s="38">
        <f>('Financial Statements'!B54/'Financial Statements'!B8)*365</f>
        <v>56.527161404170961</v>
      </c>
      <c r="D10" s="38">
        <f>('Financial Statements'!C54/'Financial Statements'!C8)*365</f>
        <v>61.113272686251392</v>
      </c>
      <c r="E10" s="38">
        <f>('Financial Statements'!D54/'Financial Statements'!D8)*365</f>
        <v>68.581206742923456</v>
      </c>
      <c r="F10" t="s">
        <v>171</v>
      </c>
    </row>
    <row r="11" spans="1:10" x14ac:dyDescent="0.3">
      <c r="A11" s="22">
        <f t="shared" si="0"/>
        <v>1.7000000000000006</v>
      </c>
      <c r="B11" s="1" t="s">
        <v>21</v>
      </c>
      <c r="C11" s="38">
        <f>'Financial Statements'!B42/'Financial Statements'!B8*365</f>
        <v>30.081539661817608</v>
      </c>
      <c r="D11" s="38">
        <f>'Financial Statements'!C42/'Financial Statements'!C8*365</f>
        <v>25.552688039299991</v>
      </c>
      <c r="E11" s="38">
        <f>'Financial Statements'!D42/'Financial Statements'!D8*365</f>
        <v>23.202966347548593</v>
      </c>
    </row>
    <row r="12" spans="1:10" x14ac:dyDescent="0.3">
      <c r="A12" s="22">
        <f t="shared" si="0"/>
        <v>1.8000000000000007</v>
      </c>
      <c r="B12" s="1" t="s">
        <v>22</v>
      </c>
      <c r="C12" s="38">
        <f>C9+C11-C10</f>
        <v>17.100329620600512</v>
      </c>
      <c r="D12" s="38">
        <f t="shared" ref="D12:E12" si="1">D9+D11-D10</f>
        <v>8.1840912041780598</v>
      </c>
      <c r="E12" s="38">
        <f t="shared" si="1"/>
        <v>-8.1518605610792747</v>
      </c>
    </row>
    <row r="13" spans="1:10" x14ac:dyDescent="0.3">
      <c r="A13" s="22">
        <f t="shared" si="0"/>
        <v>1.9000000000000008</v>
      </c>
      <c r="B13" s="1" t="s">
        <v>23</v>
      </c>
      <c r="C13" s="39">
        <f>C14/'Financial Statements'!B8</f>
        <v>-1.6735962084349094E-2</v>
      </c>
      <c r="D13" s="39">
        <f>D14/'Financial Statements'!C8</f>
        <v>4.1109186032156859E-2</v>
      </c>
      <c r="E13" s="39">
        <f>E14/'Financial Statements'!D8</f>
        <v>1.6442869576028845E-2</v>
      </c>
    </row>
    <row r="14" spans="1:10" x14ac:dyDescent="0.3">
      <c r="A14" s="22"/>
      <c r="B14" s="19" t="s">
        <v>24</v>
      </c>
      <c r="C14" s="38">
        <f>'Financial Statements'!B44-'Financial Statements'!B57</f>
        <v>-8602</v>
      </c>
      <c r="D14" s="38">
        <f>'Financial Statements'!C44-'Financial Statements'!C57</f>
        <v>19314</v>
      </c>
      <c r="E14" s="38">
        <f>'Financial Statements'!D44-'Financial Statements'!D57</f>
        <v>6348</v>
      </c>
    </row>
    <row r="15" spans="1:10" x14ac:dyDescent="0.3">
      <c r="A15" s="22"/>
      <c r="C15" s="38"/>
      <c r="D15" s="38"/>
      <c r="E15" s="38"/>
    </row>
    <row r="16" spans="1:10" x14ac:dyDescent="0.3">
      <c r="A16" s="22">
        <f>+A4+1</f>
        <v>2</v>
      </c>
      <c r="B16" s="23" t="s">
        <v>25</v>
      </c>
      <c r="C16" s="38"/>
      <c r="D16" s="38"/>
      <c r="E16" s="38"/>
    </row>
    <row r="17" spans="1:7" x14ac:dyDescent="0.3">
      <c r="A17" s="22">
        <f>+A16+0.1</f>
        <v>2.1</v>
      </c>
      <c r="B17" s="1" t="s">
        <v>11</v>
      </c>
      <c r="C17" s="39">
        <f>'Financial Statements'!B11/'Financial Statements'!B8</f>
        <v>0.43892891399131878</v>
      </c>
      <c r="D17" s="39">
        <f>'Financial Statements'!C11/'Financial Statements'!C8</f>
        <v>0.42032514441639601</v>
      </c>
      <c r="E17" s="39">
        <f>'Financial Statements'!D11/'Financial Statements'!D8</f>
        <v>0.3956779186870571</v>
      </c>
    </row>
    <row r="18" spans="1:7" x14ac:dyDescent="0.3">
      <c r="A18" s="22">
        <f>+A17+0.1</f>
        <v>2.2000000000000002</v>
      </c>
      <c r="B18" s="1" t="s">
        <v>26</v>
      </c>
      <c r="C18" s="39">
        <f>C19/'Financial Statements'!B8</f>
        <v>0.10626616055394829</v>
      </c>
      <c r="D18" s="39">
        <f>D19/'Financial Statements'!C8</f>
        <v>0.12624355607017126</v>
      </c>
      <c r="E18" s="39">
        <f>E19/'Financial Statements'!D8</f>
        <v>0.12453634630527581</v>
      </c>
    </row>
    <row r="19" spans="1:7" x14ac:dyDescent="0.3">
      <c r="A19" s="22"/>
      <c r="B19" s="19" t="s">
        <v>27</v>
      </c>
      <c r="C19" s="38">
        <f>'Financial Statements'!B81+'Financial Statements'!B19</f>
        <v>54619</v>
      </c>
      <c r="D19" s="38">
        <f>'Financial Statements'!C81+'Financial Statements'!C19</f>
        <v>59312</v>
      </c>
      <c r="E19" s="38">
        <f>'Financial Statements'!D81+'Financial Statements'!D19</f>
        <v>48079</v>
      </c>
    </row>
    <row r="20" spans="1:7" x14ac:dyDescent="0.3">
      <c r="A20" s="22">
        <f>+A18+0.1</f>
        <v>2.3000000000000003</v>
      </c>
      <c r="B20" s="1" t="s">
        <v>28</v>
      </c>
      <c r="C20" s="38">
        <f>C21/'Financial Statements'!B8</f>
        <v>2.4705097250298163E-2</v>
      </c>
      <c r="D20" s="38">
        <f>D21/'Financial Statements'!C8</f>
        <v>5.2954097509269465E-2</v>
      </c>
      <c r="E20" s="38">
        <f>E21/'Financial Statements'!D8</f>
        <v>5.9313999751336569E-2</v>
      </c>
    </row>
    <row r="21" spans="1:7" x14ac:dyDescent="0.3">
      <c r="A21" s="22"/>
      <c r="B21" s="19" t="s">
        <v>29</v>
      </c>
      <c r="C21" s="38">
        <f>'Financial Statements'!B19</f>
        <v>12698</v>
      </c>
      <c r="D21" s="38">
        <f>'Financial Statements'!C19</f>
        <v>24879</v>
      </c>
      <c r="E21" s="38">
        <f>'Financial Statements'!D19</f>
        <v>22899</v>
      </c>
    </row>
    <row r="22" spans="1:7" x14ac:dyDescent="0.3">
      <c r="A22" s="22">
        <f>+A20+0.1</f>
        <v>2.4000000000000004</v>
      </c>
      <c r="B22" s="1" t="s">
        <v>30</v>
      </c>
      <c r="C22" s="39">
        <f>'Financial Statements'!B27/'Financial Statements'!B8</f>
        <v>-4.4203796623623736E-3</v>
      </c>
      <c r="D22" s="39">
        <f>'Financial Statements'!C27/'Financial Statements'!C8</f>
        <v>7.1014128755145567E-2</v>
      </c>
      <c r="E22" s="39">
        <f>'Financial Statements'!D27/'Financial Statements'!D8</f>
        <v>5.5252496995316841E-2</v>
      </c>
    </row>
    <row r="23" spans="1:7" x14ac:dyDescent="0.3">
      <c r="A23" s="22"/>
      <c r="C23" s="38"/>
      <c r="D23" s="38"/>
      <c r="E23" s="38"/>
    </row>
    <row r="24" spans="1:7" x14ac:dyDescent="0.3">
      <c r="A24" s="22">
        <f>+A16+1</f>
        <v>3</v>
      </c>
      <c r="B24" s="9" t="s">
        <v>31</v>
      </c>
      <c r="C24" s="38"/>
      <c r="D24" s="38"/>
      <c r="E24" s="38"/>
    </row>
    <row r="25" spans="1:7" x14ac:dyDescent="0.3">
      <c r="A25" s="22">
        <f>+A24+0.1</f>
        <v>3.1</v>
      </c>
      <c r="B25" s="1" t="s">
        <v>32</v>
      </c>
      <c r="C25" s="39">
        <f>('Financial Statements'!B59+'Financial Statements'!B60)/'Financial Statements'!B71</f>
        <v>0.95942975698937982</v>
      </c>
      <c r="D25" s="39">
        <f>('Financial Statements'!C59+'Financial Statements'!C60)/'Financial Statements'!C71</f>
        <v>0.84194726753227966</v>
      </c>
      <c r="E25" s="39">
        <f>('Financial Statements'!D59+'Financial Statements'!D60)/'Financial Statements'!D71</f>
        <v>0.90348379084407515</v>
      </c>
    </row>
    <row r="26" spans="1:7" x14ac:dyDescent="0.3">
      <c r="A26" s="22">
        <f t="shared" ref="A26:A30" si="2">+A25+0.1</f>
        <v>3.2</v>
      </c>
      <c r="B26" s="1" t="s">
        <v>33</v>
      </c>
      <c r="C26" s="39">
        <f>('Financial Statements'!B59+'Financial Statements'!B60)/'Financial Statements'!B51</f>
        <v>0.30093102670661381</v>
      </c>
      <c r="D26" s="39">
        <f>('Financial Statements'!C59+'Financial Statements'!C60)/'Financial Statements'!C51</f>
        <v>0.2767691755300809</v>
      </c>
      <c r="E26" s="39">
        <f>('Financial Statements'!D59+'Financial Statements'!D60)/'Financial Statements'!D51</f>
        <v>0.26273447594140631</v>
      </c>
    </row>
    <row r="27" spans="1:7" x14ac:dyDescent="0.3">
      <c r="A27" s="22">
        <f t="shared" si="2"/>
        <v>3.3000000000000003</v>
      </c>
      <c r="B27" s="1" t="s">
        <v>34</v>
      </c>
      <c r="C27" s="39">
        <f>('Financial Statements'!B59+'Financial Statements'!B60)/('Financial Statements'!B59+'Financial Statements'!B60+'Financial Statements'!B71)</f>
        <v>0.48964743623344903</v>
      </c>
      <c r="D27" s="39">
        <f>('Financial Statements'!C59+'Financial Statements'!C60)/('Financial Statements'!C59+'Financial Statements'!C60+'Financial Statements'!C71)</f>
        <v>0.45709629280552938</v>
      </c>
      <c r="E27" s="39">
        <f>('Financial Statements'!D59+'Financial Statements'!D60)/('Financial Statements'!D59+'Financial Statements'!D60+'Financial Statements'!D71)</f>
        <v>0.47464748330924167</v>
      </c>
    </row>
    <row r="28" spans="1:7" x14ac:dyDescent="0.3">
      <c r="A28" s="22">
        <f t="shared" si="2"/>
        <v>3.4000000000000004</v>
      </c>
      <c r="B28" s="1" t="s">
        <v>35</v>
      </c>
      <c r="C28" s="38">
        <f>C21/-'Financial Statements'!B23</f>
        <v>0.69830620325560933</v>
      </c>
      <c r="D28" s="38">
        <f>D21/'Financial Statements'!C23</f>
        <v>1.8745479204339963</v>
      </c>
      <c r="E28" s="38">
        <f>E21/'Financial Statements'!D23</f>
        <v>17.903831118060985</v>
      </c>
    </row>
    <row r="29" spans="1:7" x14ac:dyDescent="0.3">
      <c r="A29" s="22">
        <f t="shared" si="2"/>
        <v>3.5000000000000004</v>
      </c>
      <c r="B29" s="1" t="s">
        <v>36</v>
      </c>
      <c r="C29" s="38">
        <f>'Financial Statements'!B27/('Financial Statements'!B21+'Financial Statements'!B102+'Financial Statements'!B104)</f>
        <v>0.19643783503371953</v>
      </c>
      <c r="D29" s="38">
        <f>'Financial Statements'!C27/-('Financial Statements'!C21+'Financial Statements'!C102+'Financial Statements'!C104)</f>
        <v>2.2911687954951243</v>
      </c>
      <c r="E29" s="38">
        <f>'Financial Statements'!D27/-('Financial Statements'!D21+'Financial Statements'!D102+'Financial Statements'!D104)</f>
        <v>1.5410345325819967</v>
      </c>
    </row>
    <row r="30" spans="1:7" x14ac:dyDescent="0.3">
      <c r="A30" s="22">
        <f t="shared" si="2"/>
        <v>3.6000000000000005</v>
      </c>
      <c r="B30" s="1" t="s">
        <v>37</v>
      </c>
      <c r="C30" s="38">
        <f>C31/'Financial Statements'!B33</f>
        <v>0.41937383452743154</v>
      </c>
      <c r="D30" s="38">
        <f>D31/'Financial Statements'!C33</f>
        <v>0.41540404040404039</v>
      </c>
      <c r="E30" s="38">
        <f>E31/'Financial Statements'!D33</f>
        <v>3.5741321827809376</v>
      </c>
    </row>
    <row r="31" spans="1:7" x14ac:dyDescent="0.3">
      <c r="A31" s="22"/>
      <c r="B31" s="19" t="s">
        <v>38</v>
      </c>
      <c r="C31" s="38">
        <f>'Financial Statements'!B91+'Financial Statements'!B95+'List of Ratios'!C32</f>
        <v>4273</v>
      </c>
      <c r="D31" s="38">
        <f>'Financial Statements'!C91+'Financial Statements'!C95+'List of Ratios'!D32</f>
        <v>4277</v>
      </c>
      <c r="E31" s="38">
        <f>'Financial Statements'!D91+'Financial Statements'!D95+'List of Ratios'!E32</f>
        <v>36449</v>
      </c>
      <c r="F31" t="s">
        <v>177</v>
      </c>
    </row>
    <row r="32" spans="1:7" x14ac:dyDescent="0.3">
      <c r="A32" s="22"/>
      <c r="B32" s="19" t="s">
        <v>152</v>
      </c>
      <c r="C32" s="38">
        <f>'Financial Statements'!B101</f>
        <v>21166</v>
      </c>
      <c r="D32" s="38">
        <f>'Financial Statements'!C101</f>
        <v>19003</v>
      </c>
      <c r="E32" s="38">
        <f>'Financial Statements'!D101</f>
        <v>10525</v>
      </c>
      <c r="F32" t="s">
        <v>178</v>
      </c>
      <c r="G32" s="44" t="s">
        <v>180</v>
      </c>
    </row>
    <row r="33" spans="1:7" x14ac:dyDescent="0.3">
      <c r="A33" s="22"/>
      <c r="C33" s="38"/>
      <c r="D33" s="38"/>
      <c r="E33" s="38"/>
    </row>
    <row r="34" spans="1:7" x14ac:dyDescent="0.3">
      <c r="A34" s="22">
        <f>+A24+1</f>
        <v>4</v>
      </c>
      <c r="B34" s="23" t="s">
        <v>39</v>
      </c>
      <c r="C34" s="38"/>
      <c r="D34" s="38"/>
      <c r="E34" s="38"/>
    </row>
    <row r="35" spans="1:7" x14ac:dyDescent="0.3">
      <c r="A35" s="22">
        <f>+A34+0.1</f>
        <v>4.0999999999999996</v>
      </c>
      <c r="B35" s="1" t="s">
        <v>40</v>
      </c>
      <c r="C35" s="38">
        <f>'Financial Statements'!B8/'Financial Statements'!B51</f>
        <v>1.1038798148685072</v>
      </c>
      <c r="D35" s="38">
        <f>'Financial Statements'!C8/'Financial Statements'!C51</f>
        <v>1.1171635172120253</v>
      </c>
      <c r="E35" s="38">
        <f>'Financial Statements'!D8/'Financial Statements'!D51</f>
        <v>1.2019614253023865</v>
      </c>
    </row>
    <row r="36" spans="1:7" x14ac:dyDescent="0.3">
      <c r="A36" s="22">
        <f t="shared" ref="A36:A38" si="3">+A35+0.1</f>
        <v>4.1999999999999993</v>
      </c>
      <c r="B36" s="1" t="s">
        <v>41</v>
      </c>
      <c r="C36" s="38">
        <f>'Financial Statements'!B8/'Financial Statements'!B50</f>
        <v>1.6121214212229944</v>
      </c>
      <c r="D36" s="38">
        <f>'Financial Statements'!C8/'Financial Statements'!C50</f>
        <v>1.8142016998173527</v>
      </c>
      <c r="E36" s="38">
        <f>'Financial Statements'!D8/'Financial Statements'!D50</f>
        <v>2.048497840413452</v>
      </c>
    </row>
    <row r="37" spans="1:7" x14ac:dyDescent="0.3">
      <c r="A37" s="22">
        <f t="shared" si="3"/>
        <v>4.2999999999999989</v>
      </c>
      <c r="B37" s="1" t="s">
        <v>42</v>
      </c>
      <c r="C37" s="38">
        <f>'Financial Statements'!B9/'Financial Statements'!B43</f>
        <v>8.3819502979218132</v>
      </c>
      <c r="D37" s="38">
        <f>'Financial Statements'!C9/'Financial Statements'!C43</f>
        <v>8.3438725490196077</v>
      </c>
      <c r="E37" s="38">
        <f>'Financial Statements'!D9/'Financial Statements'!D43</f>
        <v>9.8048749737339769</v>
      </c>
    </row>
    <row r="38" spans="1:7" x14ac:dyDescent="0.3">
      <c r="A38" s="22">
        <f t="shared" si="3"/>
        <v>4.3999999999999986</v>
      </c>
      <c r="B38" s="1" t="s">
        <v>43</v>
      </c>
      <c r="C38" s="39">
        <f>'Financial Statements'!B19/'Financial Statements'!B51</f>
        <v>2.7271458178967603E-2</v>
      </c>
      <c r="D38" s="39">
        <f>'Financial Statements'!C19/'Financial Statements'!C51</f>
        <v>5.9158385824244021E-2</v>
      </c>
      <c r="E38" s="39">
        <f>'Financial Statements'!D19/'Financial Statements'!D51</f>
        <v>7.1293139681501888E-2</v>
      </c>
    </row>
    <row r="39" spans="1:7" x14ac:dyDescent="0.3">
      <c r="A39" s="22"/>
      <c r="C39" s="38"/>
      <c r="D39" s="38"/>
      <c r="E39" s="38"/>
    </row>
    <row r="40" spans="1:7" x14ac:dyDescent="0.3">
      <c r="A40" s="22">
        <f>+A34+1</f>
        <v>5</v>
      </c>
      <c r="B40" s="23" t="s">
        <v>44</v>
      </c>
      <c r="C40" s="38"/>
      <c r="D40" s="38"/>
      <c r="E40" s="38"/>
    </row>
    <row r="41" spans="1:7" x14ac:dyDescent="0.3">
      <c r="A41" s="22">
        <f>+A40+0.1</f>
        <v>5.0999999999999996</v>
      </c>
      <c r="B41" s="1" t="s">
        <v>45</v>
      </c>
      <c r="C41" s="38">
        <f>'Financial Statements'!B116/'List of Ratios'!C42</f>
        <v>-505.70370370370364</v>
      </c>
      <c r="D41" s="38">
        <f>'Financial Statements'!C116/'List of Ratios'!D42</f>
        <v>38.117283950617285</v>
      </c>
      <c r="E41" s="38">
        <f>'Financial Statements'!D116/'List of Ratios'!E42</f>
        <v>78.746411483253596</v>
      </c>
      <c r="F41" t="s">
        <v>173</v>
      </c>
      <c r="G41" t="s">
        <v>155</v>
      </c>
    </row>
    <row r="42" spans="1:7" x14ac:dyDescent="0.3">
      <c r="A42" s="22">
        <f t="shared" ref="A42:A45" si="4">+A41+0.1</f>
        <v>5.1999999999999993</v>
      </c>
      <c r="B42" s="19" t="s">
        <v>46</v>
      </c>
      <c r="C42" s="38">
        <f>'Financial Statements'!B30</f>
        <v>-0.27</v>
      </c>
      <c r="D42" s="38">
        <f>'Financial Statements'!C30</f>
        <v>3.24</v>
      </c>
      <c r="E42" s="38">
        <f>'Financial Statements'!D30</f>
        <v>2.09</v>
      </c>
      <c r="F42" t="s">
        <v>174</v>
      </c>
      <c r="G42" t="s">
        <v>155</v>
      </c>
    </row>
    <row r="43" spans="1:7" x14ac:dyDescent="0.3">
      <c r="A43" s="22">
        <f t="shared" si="4"/>
        <v>5.2999999999999989</v>
      </c>
      <c r="B43" s="1" t="s">
        <v>47</v>
      </c>
      <c r="C43" s="38">
        <f>'Financial Statements'!B116/'List of Ratios'!C44</f>
        <v>9.5260030265058919</v>
      </c>
      <c r="D43" s="38">
        <f>'Financial Statements'!C116/'List of Ratios'!D44</f>
        <v>9.1978444066693186</v>
      </c>
      <c r="E43" s="38">
        <f>'Financial Statements'!D116/'List of Ratios'!E44</f>
        <v>17.969110958845448</v>
      </c>
      <c r="G43" t="s">
        <v>155</v>
      </c>
    </row>
    <row r="44" spans="1:7" x14ac:dyDescent="0.3">
      <c r="A44" s="22">
        <f t="shared" si="4"/>
        <v>5.3999999999999986</v>
      </c>
      <c r="B44" s="19" t="s">
        <v>48</v>
      </c>
      <c r="C44" s="38">
        <f>'Financial Statements'!B71/'Financial Statements'!B33</f>
        <v>14.333398763372264</v>
      </c>
      <c r="D44" s="38">
        <f>'Financial Statements'!C71/'Financial Statements'!C33</f>
        <v>13.427059052059052</v>
      </c>
      <c r="E44" s="38">
        <f>'Financial Statements'!D71/'Financial Statements'!D33</f>
        <v>9.1590507942733872</v>
      </c>
      <c r="F44" t="s">
        <v>172</v>
      </c>
      <c r="G44" t="s">
        <v>155</v>
      </c>
    </row>
    <row r="45" spans="1:7" x14ac:dyDescent="0.3">
      <c r="A45" s="22">
        <f t="shared" si="4"/>
        <v>5.4999999999999982</v>
      </c>
      <c r="B45" s="1" t="s">
        <v>49</v>
      </c>
      <c r="C45" s="38">
        <v>0</v>
      </c>
      <c r="D45" s="38">
        <v>0</v>
      </c>
      <c r="E45" s="38">
        <v>0</v>
      </c>
      <c r="G45" t="s">
        <v>154</v>
      </c>
    </row>
    <row r="46" spans="1:7" x14ac:dyDescent="0.3">
      <c r="A46" s="22"/>
      <c r="B46" s="19" t="s">
        <v>50</v>
      </c>
      <c r="C46" s="38">
        <v>0</v>
      </c>
      <c r="D46" s="38">
        <v>0</v>
      </c>
      <c r="E46" s="38">
        <v>0</v>
      </c>
      <c r="G46" t="s">
        <v>154</v>
      </c>
    </row>
    <row r="47" spans="1:7" x14ac:dyDescent="0.3">
      <c r="A47" s="22">
        <f>+A45+0.1</f>
        <v>5.5999999999999979</v>
      </c>
      <c r="B47" s="1" t="s">
        <v>51</v>
      </c>
      <c r="C47" s="38">
        <v>0</v>
      </c>
      <c r="D47" s="38">
        <v>0</v>
      </c>
      <c r="E47" s="38">
        <v>0</v>
      </c>
      <c r="G47" t="s">
        <v>154</v>
      </c>
    </row>
    <row r="48" spans="1:7" x14ac:dyDescent="0.3">
      <c r="A48" s="22">
        <f t="shared" ref="A48:A51" si="5">+A46+0.1</f>
        <v>0.1</v>
      </c>
      <c r="B48" s="1" t="s">
        <v>52</v>
      </c>
      <c r="C48" s="38">
        <f>'Financial Statements'!B27/'Financial Statements'!B71</f>
        <v>-1.5557061961203208E-2</v>
      </c>
      <c r="D48" s="38">
        <f>'Financial Statements'!C27/'Financial Statements'!C71</f>
        <v>0.2413396506202756</v>
      </c>
      <c r="E48" s="38">
        <f>'Financial Statements'!D27/'Financial Statements'!D71</f>
        <v>0.22837351719412444</v>
      </c>
    </row>
    <row r="49" spans="1:6" x14ac:dyDescent="0.3">
      <c r="A49" s="22">
        <f t="shared" si="5"/>
        <v>5.6999999999999975</v>
      </c>
      <c r="B49" s="1" t="s">
        <v>53</v>
      </c>
      <c r="C49" s="39">
        <f>'Financial Statements'!B19/('Financial Statements'!B59+'Financial Statements'!B60+'Financial Statements'!B71)</f>
        <v>4.437362184224964E-2</v>
      </c>
      <c r="D49" s="39">
        <f>'Financial Statements'!C19/('Financial Statements'!C59+'Financial Statements'!C60+'Financial Statements'!C71)</f>
        <v>9.7702639019792648E-2</v>
      </c>
      <c r="E49" s="39">
        <f>'Financial Statements'!D19/('Financial Statements'!D59+'Financial Statements'!D60+'Financial Statements'!D71)</f>
        <v>0.12879584685561299</v>
      </c>
    </row>
    <row r="50" spans="1:6" x14ac:dyDescent="0.3">
      <c r="A50" s="22">
        <f t="shared" si="5"/>
        <v>0.2</v>
      </c>
      <c r="B50" s="1" t="s">
        <v>43</v>
      </c>
      <c r="C50" s="39">
        <f>C38</f>
        <v>2.7271458178967603E-2</v>
      </c>
      <c r="D50" s="39">
        <f t="shared" ref="D50:E50" si="6">D38</f>
        <v>5.9158385824244021E-2</v>
      </c>
      <c r="E50" s="39">
        <f t="shared" si="6"/>
        <v>7.1293139681501888E-2</v>
      </c>
    </row>
    <row r="51" spans="1:6" x14ac:dyDescent="0.3">
      <c r="A51" s="22">
        <f t="shared" si="5"/>
        <v>5.7999999999999972</v>
      </c>
      <c r="B51" s="1" t="s">
        <v>54</v>
      </c>
      <c r="C51" s="38">
        <f>C52/C19</f>
        <v>30.281588092055873</v>
      </c>
      <c r="D51" s="38">
        <f t="shared" ref="D51:E51" si="7">D52/D19</f>
        <v>25.587402212031293</v>
      </c>
      <c r="E51" s="38">
        <f t="shared" si="7"/>
        <v>38.77068657833982</v>
      </c>
      <c r="F51" t="s">
        <v>175</v>
      </c>
    </row>
    <row r="52" spans="1:6" x14ac:dyDescent="0.3">
      <c r="A52" s="22"/>
      <c r="B52" s="19" t="s">
        <v>55</v>
      </c>
      <c r="C52" s="38">
        <f>C53+'Financial Statements'!B63-'Financial Statements'!B40</f>
        <v>1653950.0599999998</v>
      </c>
      <c r="D52" s="38">
        <f>D53+'Financial Statements'!C63-'Financial Statements'!C40</f>
        <v>1517640</v>
      </c>
      <c r="E52" s="38">
        <f>E53+'Financial Statements'!D63-'Financial Statements'!D40</f>
        <v>1864055.84</v>
      </c>
    </row>
    <row r="53" spans="1:6" x14ac:dyDescent="0.3">
      <c r="B53" s="1" t="s">
        <v>156</v>
      </c>
      <c r="C53">
        <f>'Financial Statements'!B116*'Financial Statements'!B33</f>
        <v>1391206.0599999998</v>
      </c>
      <c r="D53">
        <f>'Financial Statements'!C116*'Financial Statements'!C33</f>
        <v>1271556</v>
      </c>
      <c r="E53">
        <f>'Financial Statements'!D116*'Financial Statements'!D33</f>
        <v>1678386.84</v>
      </c>
      <c r="F53" t="s">
        <v>176</v>
      </c>
    </row>
    <row r="55" spans="1:6" x14ac:dyDescent="0.3">
      <c r="B55" s="1" t="s">
        <v>157</v>
      </c>
      <c r="C55">
        <v>2022</v>
      </c>
      <c r="D55">
        <v>2021</v>
      </c>
      <c r="E55">
        <v>2020</v>
      </c>
    </row>
    <row r="56" spans="1:6" x14ac:dyDescent="0.3">
      <c r="B56" s="1" t="s">
        <v>64</v>
      </c>
      <c r="C56" s="39">
        <f>('Financial Statements'!B6-'Financial Statements'!C6)/'Financial Statements'!C6</f>
        <v>4.6073610243726913E-3</v>
      </c>
      <c r="D56" s="39">
        <f>('Financial Statements'!C6-'Financial Statements'!D6)/'Financial Statements'!D6</f>
        <v>0.11982493110714865</v>
      </c>
    </row>
    <row r="57" spans="1:6" x14ac:dyDescent="0.3">
      <c r="B57" s="1" t="s">
        <v>65</v>
      </c>
      <c r="C57" s="39">
        <f>('Financial Statements'!B7-'Financial Statements'!C7)/'Financial Statements'!C7</f>
        <v>0.18877365316727696</v>
      </c>
      <c r="D57" s="39">
        <f>('Financial Statements'!C7-'Financial Statements'!D7)/'Financial Statements'!D7</f>
        <v>0.34020770030972852</v>
      </c>
    </row>
    <row r="58" spans="1:6" x14ac:dyDescent="0.3">
      <c r="B58" s="1" t="s">
        <v>158</v>
      </c>
      <c r="C58" s="39">
        <f>('Financial Statements'!B8-'Financial Statements'!C8)/'Financial Statements'!C8</f>
        <v>9.3995172639850841E-2</v>
      </c>
      <c r="D58" s="39">
        <f>('Financial Statements'!C8-'Financial Statements'!D8)/'Financial Statements'!D8</f>
        <v>0.21695366571345684</v>
      </c>
    </row>
    <row r="59" spans="1:6" x14ac:dyDescent="0.3">
      <c r="B59" s="1" t="s">
        <v>159</v>
      </c>
      <c r="C59" s="39">
        <f>('Financial Statements'!B11-'Financial Statements'!C11)/'Financial Statements'!C11</f>
        <v>0.14241586404561521</v>
      </c>
      <c r="D59" s="39">
        <f>('Financial Statements'!C11-'Financial Statements'!D11)/'Financial Statements'!D11</f>
        <v>0.29275908796323574</v>
      </c>
    </row>
    <row r="60" spans="1:6" x14ac:dyDescent="0.3">
      <c r="B60" t="s">
        <v>69</v>
      </c>
      <c r="C60" s="39">
        <f>('Financial Statements'!B13-'Financial Statements'!C13)/'Financial Statements'!C13</f>
        <v>0.12232562474204843</v>
      </c>
      <c r="D60" s="39">
        <f>('Financial Statements'!C13-'Financial Statements'!D13)/'Financial Statements'!D13</f>
        <v>0.28357571304065488</v>
      </c>
    </row>
    <row r="61" spans="1:6" x14ac:dyDescent="0.3">
      <c r="B61" t="s">
        <v>70</v>
      </c>
      <c r="C61" s="39">
        <f>('Financial Statements'!B14-'Financial Statements'!C14)/'Financial Statements'!C14</f>
        <v>0.3061621351602084</v>
      </c>
      <c r="D61" s="39">
        <f>('Financial Statements'!C14-'Financial Statements'!D14)/'Financial Statements'!D14</f>
        <v>0.31146467009826861</v>
      </c>
    </row>
    <row r="62" spans="1:6" x14ac:dyDescent="0.3">
      <c r="B62" t="s">
        <v>71</v>
      </c>
      <c r="C62" s="39">
        <f>('Financial Statements'!B15-'Financial Statements'!C15)/'Financial Statements'!C15</f>
        <v>0.29759454394642254</v>
      </c>
      <c r="D62" s="39">
        <f>('Financial Statements'!C15-'Financial Statements'!D15)/'Financial Statements'!D15</f>
        <v>0.47905307161032351</v>
      </c>
    </row>
    <row r="63" spans="1:6" x14ac:dyDescent="0.3">
      <c r="B63" t="s">
        <v>72</v>
      </c>
      <c r="C63" s="39">
        <f>('Financial Statements'!B16-'Financial Statements'!C16)/'Financial Statements'!C16</f>
        <v>0.3477275303184858</v>
      </c>
      <c r="D63" s="39">
        <f>('Financial Statements'!C16-'Financial Statements'!D16)/'Financial Statements'!D16</f>
        <v>0.32318536292741451</v>
      </c>
    </row>
    <row r="64" spans="1:6" x14ac:dyDescent="0.3">
      <c r="B64" t="s">
        <v>73</v>
      </c>
      <c r="C64" s="39">
        <f>('Financial Statements'!B17-'Financial Statements'!C17)/'Financial Statements'!C17</f>
        <v>19.370967741935484</v>
      </c>
      <c r="D64" s="39">
        <f>('Financial Statements'!C17-'Financial Statements'!D17)/'Financial Statements'!D17</f>
        <v>-1.8266666666666667</v>
      </c>
    </row>
    <row r="65" spans="2:4" x14ac:dyDescent="0.3">
      <c r="B65" s="11" t="s">
        <v>74</v>
      </c>
      <c r="C65" s="39">
        <f>('Financial Statements'!B18-'Financial Statements'!C18)/'Financial Statements'!C18</f>
        <v>0.23351815479811586</v>
      </c>
      <c r="D65" s="39">
        <f>('Financial Statements'!C18-'Financial Statements'!D18)/'Financial Statements'!D18</f>
        <v>0.32913644134362152</v>
      </c>
    </row>
    <row r="66" spans="2:4" x14ac:dyDescent="0.3">
      <c r="B66" s="11" t="s">
        <v>75</v>
      </c>
      <c r="C66" s="39">
        <f>('Financial Statements'!B19-'Financial Statements'!C19)/'Financial Statements'!C19</f>
        <v>-0.48960971100124601</v>
      </c>
      <c r="D66" s="39">
        <f>('Financial Statements'!C19-'Financial Statements'!D19)/'Financial Statements'!D19</f>
        <v>8.6466657932660812E-2</v>
      </c>
    </row>
    <row r="67" spans="2:4" x14ac:dyDescent="0.3">
      <c r="B67" t="s">
        <v>76</v>
      </c>
      <c r="C67" s="39">
        <f>('Financial Statements'!B20-'Financial Statements'!C20)/'Financial Statements'!C20</f>
        <v>1.2075892857142858</v>
      </c>
      <c r="D67" s="39">
        <f>('Financial Statements'!C20-'Financial Statements'!D20)/'Financial Statements'!D20</f>
        <v>-0.19279279279279279</v>
      </c>
    </row>
    <row r="68" spans="2:4" x14ac:dyDescent="0.3">
      <c r="B68" t="s">
        <v>77</v>
      </c>
      <c r="C68" s="39">
        <f>('Financial Statements'!B21-'Financial Statements'!C21)/'Financial Statements'!C21</f>
        <v>0.30845771144278605</v>
      </c>
      <c r="D68" s="39">
        <f>('Financial Statements'!C21-'Financial Statements'!D21)/'Financial Statements'!D21</f>
        <v>9.8360655737704916E-2</v>
      </c>
    </row>
    <row r="69" spans="2:4" ht="15" thickBot="1" x14ac:dyDescent="0.35">
      <c r="B69" s="13" t="s">
        <v>79</v>
      </c>
      <c r="C69" s="39">
        <f>('Financial Statements'!B23-'Financial Statements'!C23)/'Financial Statements'!C23</f>
        <v>-2.3701024713682943</v>
      </c>
      <c r="D69" s="39">
        <f>('Financial Statements'!C23-'Financial Statements'!D23)/'Financial Statements'!D23</f>
        <v>9.3768569194683344</v>
      </c>
    </row>
    <row r="70" spans="2:4" ht="15" thickTop="1" x14ac:dyDescent="0.3">
      <c r="B70" s="9" t="s">
        <v>80</v>
      </c>
      <c r="C70" s="39">
        <f>('Financial Statements'!B24-'Financial Statements'!C24)/'Financial Statements'!C24</f>
        <v>-1.1437970171161962</v>
      </c>
      <c r="D70" s="39">
        <f>('Financial Statements'!C24-'Financial Statements'!D24)/'Financial Statements'!D24</f>
        <v>0.57792207792207795</v>
      </c>
    </row>
    <row r="71" spans="2:4" x14ac:dyDescent="0.3">
      <c r="B71" t="s">
        <v>81</v>
      </c>
      <c r="C71" s="39">
        <f>('Financial Statements'!B25-'Financial Statements'!C25)/'Financial Statements'!C25</f>
        <v>-1.6714673345856814</v>
      </c>
      <c r="D71" s="39">
        <f>('Financial Statements'!C25-'Financial Statements'!D25)/'Financial Statements'!D25</f>
        <v>0.67341949004540691</v>
      </c>
    </row>
    <row r="72" spans="2:4" ht="15" thickBot="1" x14ac:dyDescent="0.35">
      <c r="B72" s="26" t="s">
        <v>83</v>
      </c>
      <c r="C72" s="39">
        <f>('Financial Statements'!B27-'Financial Statements'!C27)/'Financial Statements'!C27</f>
        <v>-1.0680973504375975</v>
      </c>
      <c r="D72" s="39">
        <f>('Financial Statements'!C27-'Financial Statements'!D27)/'Financial Statements'!D27</f>
        <v>0.56410857437532225</v>
      </c>
    </row>
    <row r="73" spans="2:4" ht="15" thickTop="1" x14ac:dyDescent="0.3">
      <c r="B73" s="1"/>
    </row>
    <row r="74" spans="2:4" x14ac:dyDescent="0.3">
      <c r="B74" s="1" t="s">
        <v>160</v>
      </c>
      <c r="C74" s="39">
        <f>('Financial Statements'!B44-'Financial Statements'!C44)/'Financial Statements'!C44</f>
        <v>-9.1527416759499935E-2</v>
      </c>
      <c r="D74" s="39">
        <f>('Financial Statements'!C44-'Financial Statements'!D44)/'Financial Statements'!D44</f>
        <v>0.21733103297597434</v>
      </c>
    </row>
    <row r="75" spans="2:4" x14ac:dyDescent="0.3">
      <c r="B75" s="1" t="s">
        <v>161</v>
      </c>
      <c r="C75" s="39">
        <f>('Financial Statements'!B50-'Financial Statements'!C50)/'Financial Statements'!C50</f>
        <v>0.23112805007549167</v>
      </c>
      <c r="D75" s="39">
        <f>('Financial Statements'!C50-'Financial Statements'!D50)/'Financial Statements'!D50</f>
        <v>0.37411785930320168</v>
      </c>
    </row>
    <row r="76" spans="2:4" x14ac:dyDescent="0.3">
      <c r="B76" s="1" t="s">
        <v>100</v>
      </c>
      <c r="C76" s="39">
        <f>('Financial Statements'!B51-'Financial Statements'!C51)/'Financial Statements'!C51</f>
        <v>0.10715992666728491</v>
      </c>
      <c r="D76" s="39">
        <f>('Financial Statements'!C51-'Financial Statements'!D51)/'Financial Statements'!D51</f>
        <v>0.30932611030682294</v>
      </c>
    </row>
    <row r="77" spans="2:4" x14ac:dyDescent="0.3">
      <c r="B77" s="1" t="s">
        <v>162</v>
      </c>
      <c r="C77" s="39">
        <f>('Financial Statements'!B57-'Financial Statements'!C57)/'Financial Statements'!C57</f>
        <v>9.2270816639253225E-2</v>
      </c>
      <c r="D77" s="39">
        <f>('Financial Statements'!C57-'Financial Statements'!D57)/'Financial Statements'!D57</f>
        <v>0.12565573446215927</v>
      </c>
    </row>
    <row r="78" spans="2:4" x14ac:dyDescent="0.3">
      <c r="B78" s="1" t="s">
        <v>163</v>
      </c>
      <c r="C78" s="39">
        <f>('Financial Statements'!B62-'Financial Statements'!C62)/'Financial Statements'!C62</f>
        <v>0.15139462145988947</v>
      </c>
      <c r="D78" s="39">
        <f>('Financial Statements'!C62-'Financial Statements'!D62)/'Financial Statements'!D62</f>
        <v>0.38096365106601188</v>
      </c>
    </row>
    <row r="79" spans="2:4" x14ac:dyDescent="0.3">
      <c r="B79" s="1" t="s">
        <v>164</v>
      </c>
      <c r="C79" s="39">
        <f>('Financial Statements'!B63-'Financial Statements'!C63)/'Financial Statements'!C63</f>
        <v>0.12159941056449784</v>
      </c>
      <c r="D79" s="39">
        <f>('Financial Statements'!C63-'Financial Statements'!D63)/'Financial Statements'!D63</f>
        <v>0.23931147411442946</v>
      </c>
    </row>
    <row r="80" spans="2:4" x14ac:dyDescent="0.3">
      <c r="B80" s="1" t="s">
        <v>165</v>
      </c>
      <c r="C80" s="39">
        <f>('Financial Statements'!B71-'Financial Statements'!C71)/'Financial Statements'!C71</f>
        <v>5.6407103331042714E-2</v>
      </c>
      <c r="D80" s="39">
        <f>('Financial Statements'!C71-'Financial Statements'!D71)/'Financial Statements'!D71</f>
        <v>0.48007579975161663</v>
      </c>
    </row>
    <row r="81" spans="2:5" x14ac:dyDescent="0.3">
      <c r="B81" s="1" t="s">
        <v>166</v>
      </c>
      <c r="C81" s="39">
        <f>('Financial Statements'!B72-'Financial Statements'!C72)/'Financial Statements'!C72</f>
        <v>0.10016906472254125</v>
      </c>
      <c r="D81" s="39">
        <f>('Financial Statements'!C72-'Financial Statements'!D72)/'Financial Statements'!D72</f>
        <v>0.30932611030682294</v>
      </c>
    </row>
    <row r="82" spans="2:5" x14ac:dyDescent="0.3">
      <c r="B82" s="1"/>
    </row>
    <row r="83" spans="2:5" x14ac:dyDescent="0.3">
      <c r="B83" s="1" t="s">
        <v>167</v>
      </c>
      <c r="C83" s="39">
        <f>'Financial Statements'!B9/'Financial Statements'!B8</f>
        <v>0.56107108600868127</v>
      </c>
      <c r="D83" s="39">
        <f>'Financial Statements'!C9/'Financial Statements'!C8</f>
        <v>0.57967485558360399</v>
      </c>
      <c r="E83" s="39">
        <f>'Financial Statements'!D9/'Financial Statements'!D8</f>
        <v>0.60432208131294296</v>
      </c>
    </row>
    <row r="84" spans="2:5" x14ac:dyDescent="0.3">
      <c r="B84" s="1" t="s">
        <v>159</v>
      </c>
      <c r="C84" s="39">
        <f>'Financial Statements'!B11/'Financial Statements'!B8</f>
        <v>0.43892891399131878</v>
      </c>
      <c r="D84" s="39">
        <f>'Financial Statements'!C11/'Financial Statements'!C8</f>
        <v>0.42032514441639601</v>
      </c>
      <c r="E84" s="39">
        <f>'Financial Statements'!D11/'Financial Statements'!D8</f>
        <v>0.3956779186870571</v>
      </c>
    </row>
    <row r="85" spans="2:5" x14ac:dyDescent="0.3">
      <c r="B85" s="1" t="s">
        <v>75</v>
      </c>
      <c r="C85" s="39">
        <f>'Financial Statements'!B19/'Financial Statements'!B8</f>
        <v>2.4705097250298163E-2</v>
      </c>
      <c r="D85" s="39">
        <f>'Financial Statements'!C19/'Financial Statements'!C8</f>
        <v>5.2954097509269465E-2</v>
      </c>
      <c r="E85" s="39">
        <f>'Financial Statements'!D19/'Financial Statements'!D8</f>
        <v>5.9313999751336569E-2</v>
      </c>
    </row>
    <row r="86" spans="2:5" x14ac:dyDescent="0.3">
      <c r="B86" s="1" t="s">
        <v>168</v>
      </c>
      <c r="C86" s="39">
        <f>'Financial Statements'!B27/'Financial Statements'!B8</f>
        <v>-4.4203796623623736E-3</v>
      </c>
      <c r="D86" s="39">
        <f>'Financial Statements'!C27/'Financial Statements'!C8</f>
        <v>7.1014128755145567E-2</v>
      </c>
      <c r="E86" s="39">
        <f>'Financial Statements'!D27/'Financial Statements'!D8</f>
        <v>5.5252496995316841E-2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Sergiu Gaman</cp:lastModifiedBy>
  <dcterms:created xsi:type="dcterms:W3CDTF">2020-05-19T16:15:53Z</dcterms:created>
  <dcterms:modified xsi:type="dcterms:W3CDTF">2023-09-09T13:53:28Z</dcterms:modified>
</cp:coreProperties>
</file>