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ell\Downloads\"/>
    </mc:Choice>
  </mc:AlternateContent>
  <bookViews>
    <workbookView xWindow="0" yWindow="0" windowWidth="19368" windowHeight="8388" firstSheet="1" activeTab="2"/>
  </bookViews>
  <sheets>
    <sheet name="Instructions" sheetId="2" r:id="rId1"/>
    <sheet name="Financial Statements" sheetId="1" r:id="rId2"/>
    <sheet name="List of Ratios" sheetId="3" r:id="rId3"/>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5" i="3" l="1"/>
  <c r="C29" i="3" l="1"/>
  <c r="D29" i="3"/>
  <c r="E8" i="3"/>
  <c r="D8" i="3"/>
  <c r="C8" i="3"/>
  <c r="E29" i="3"/>
  <c r="C48" i="3"/>
  <c r="E12" i="3"/>
  <c r="D12" i="3"/>
  <c r="C12" i="1"/>
  <c r="C12" i="3"/>
  <c r="C28" i="3"/>
  <c r="E45" i="1"/>
  <c r="D45" i="3"/>
  <c r="C45" i="3"/>
  <c r="E48" i="1"/>
  <c r="E52" i="1"/>
  <c r="D48" i="1"/>
  <c r="C48" i="1"/>
  <c r="E51" i="3"/>
  <c r="D51" i="3"/>
  <c r="C51" i="3"/>
  <c r="C47" i="3"/>
  <c r="E43" i="3"/>
  <c r="D43" i="3"/>
  <c r="C43" i="3"/>
  <c r="E42" i="3"/>
  <c r="D42" i="3"/>
  <c r="C42" i="3"/>
  <c r="E41" i="3"/>
  <c r="D41" i="3"/>
  <c r="C41" i="3"/>
  <c r="E40" i="3"/>
  <c r="D40" i="3"/>
  <c r="C40" i="3"/>
  <c r="E36" i="3"/>
  <c r="D36" i="3"/>
  <c r="E35" i="3"/>
  <c r="D35" i="3"/>
  <c r="E34" i="3"/>
  <c r="D34" i="3"/>
  <c r="C37" i="3"/>
  <c r="C49" i="3" s="1"/>
  <c r="C36" i="3"/>
  <c r="C35" i="3"/>
  <c r="C34" i="3"/>
  <c r="C31" i="3"/>
  <c r="C30" i="3" s="1"/>
  <c r="B157" i="1"/>
  <c r="B144" i="1"/>
  <c r="E27" i="3"/>
  <c r="D27" i="3"/>
  <c r="C27" i="3"/>
  <c r="E26" i="3"/>
  <c r="D26" i="3"/>
  <c r="C26" i="3"/>
  <c r="E25" i="3"/>
  <c r="D25" i="3"/>
  <c r="C25" i="3"/>
  <c r="C22" i="3"/>
  <c r="C21" i="3"/>
  <c r="R17" i="3"/>
  <c r="Q17" i="3"/>
  <c r="P17" i="3"/>
  <c r="C17" i="3"/>
  <c r="E6" i="3"/>
  <c r="D6" i="3"/>
  <c r="E7" i="3"/>
  <c r="D7" i="3"/>
  <c r="E11" i="3"/>
  <c r="D11" i="3"/>
  <c r="E10" i="3"/>
  <c r="D10" i="3"/>
  <c r="E9" i="3"/>
  <c r="D9" i="3"/>
  <c r="R12" i="3"/>
  <c r="Q12" i="3"/>
  <c r="P12" i="3"/>
  <c r="R10" i="3"/>
  <c r="Q10" i="3"/>
  <c r="P10" i="3"/>
  <c r="R9" i="3"/>
  <c r="R8" i="3" s="1"/>
  <c r="E14" i="3" s="1"/>
  <c r="E13" i="3" s="1"/>
  <c r="Q9" i="3"/>
  <c r="Q8" i="3" s="1"/>
  <c r="D14" i="3" s="1"/>
  <c r="D13" i="3" s="1"/>
  <c r="P9" i="3"/>
  <c r="P8" i="3" s="1"/>
  <c r="C14" i="3" s="1"/>
  <c r="C13" i="3" s="1"/>
  <c r="C11" i="3"/>
  <c r="C10" i="3"/>
  <c r="C9" i="3"/>
  <c r="C7" i="3"/>
  <c r="C6" i="3"/>
  <c r="E5" i="3"/>
  <c r="D5" i="3"/>
  <c r="C5" i="3"/>
  <c r="D153" i="1"/>
  <c r="C153" i="1"/>
  <c r="B153" i="1"/>
  <c r="D152" i="1"/>
  <c r="C152" i="1"/>
  <c r="B152" i="1"/>
  <c r="A151" i="1"/>
  <c r="C104" i="1"/>
  <c r="B104" i="1"/>
  <c r="A104" i="1"/>
  <c r="B48" i="1"/>
  <c r="B47" i="1"/>
  <c r="C47" i="1"/>
  <c r="A48" i="1"/>
  <c r="A47" i="1"/>
  <c r="B42" i="1"/>
  <c r="B41" i="1"/>
  <c r="C42" i="1"/>
  <c r="C41" i="1"/>
  <c r="A95" i="1"/>
  <c r="A102" i="1"/>
  <c r="A100" i="1"/>
  <c r="A99" i="1"/>
  <c r="A98" i="1"/>
  <c r="A96" i="1"/>
  <c r="A42" i="1"/>
  <c r="A41" i="1"/>
  <c r="C46" i="3" l="1"/>
  <c r="C44" i="3"/>
  <c r="D44" i="3"/>
  <c r="E46" i="3"/>
  <c r="E44" i="3"/>
  <c r="C20" i="3"/>
  <c r="C19" i="3"/>
  <c r="C18" i="3" s="1"/>
  <c r="C50" i="3"/>
  <c r="A35" i="1"/>
  <c r="A34" i="1"/>
  <c r="D143" i="1"/>
  <c r="C143" i="1"/>
  <c r="B143" i="1"/>
  <c r="D134" i="1"/>
  <c r="C134" i="1"/>
  <c r="B134" i="1"/>
  <c r="D90" i="1" l="1"/>
  <c r="C90" i="1"/>
  <c r="C102" i="1" s="1"/>
  <c r="B90" i="1"/>
  <c r="B102" i="1" s="1"/>
  <c r="D83" i="1"/>
  <c r="C83" i="1"/>
  <c r="C100" i="1" s="1"/>
  <c r="B83" i="1"/>
  <c r="B100" i="1" s="1"/>
  <c r="D78" i="1"/>
  <c r="C78" i="1"/>
  <c r="C99" i="1" s="1"/>
  <c r="B78" i="1"/>
  <c r="D69" i="1"/>
  <c r="C69" i="1"/>
  <c r="C96" i="1" s="1"/>
  <c r="B69" i="1"/>
  <c r="B96" i="1" s="1"/>
  <c r="D64" i="1"/>
  <c r="C64" i="1"/>
  <c r="B64" i="1"/>
  <c r="B95" i="1" s="1"/>
  <c r="D17" i="1"/>
  <c r="C17" i="1"/>
  <c r="B17" i="1"/>
  <c r="B46" i="1" s="1"/>
  <c r="C40" i="1"/>
  <c r="B12" i="1"/>
  <c r="D8" i="1"/>
  <c r="C8" i="1"/>
  <c r="B8" i="1"/>
  <c r="E3" i="3"/>
  <c r="D3" i="3"/>
  <c r="C3" i="3"/>
  <c r="D55" i="1"/>
  <c r="D108" i="1" s="1"/>
  <c r="C55" i="1"/>
  <c r="C108" i="1" s="1"/>
  <c r="B55" i="1"/>
  <c r="B108" i="1" s="1"/>
  <c r="C95" i="1" l="1"/>
  <c r="C46" i="1"/>
  <c r="B99" i="1"/>
  <c r="B40" i="1"/>
  <c r="B70" i="1"/>
  <c r="B94" i="1" s="1"/>
  <c r="B35" i="1"/>
  <c r="B34" i="1"/>
  <c r="C13" i="1"/>
  <c r="C35" i="1"/>
  <c r="C34" i="1"/>
  <c r="D13" i="1"/>
  <c r="D35" i="1"/>
  <c r="D34" i="1"/>
  <c r="C31" i="1"/>
  <c r="B31" i="1"/>
  <c r="D31" i="1"/>
  <c r="C84" i="1"/>
  <c r="B84" i="1"/>
  <c r="B13" i="1"/>
  <c r="C70" i="1"/>
  <c r="D84" i="1"/>
  <c r="D91" i="1" s="1"/>
  <c r="D70" i="1"/>
  <c r="A47" i="3"/>
  <c r="A49" i="3" s="1"/>
  <c r="A16" i="3"/>
  <c r="A17" i="3" s="1"/>
  <c r="A18" i="3" s="1"/>
  <c r="A20" i="3" s="1"/>
  <c r="A22" i="3" s="1"/>
  <c r="A5" i="3"/>
  <c r="A6" i="3" s="1"/>
  <c r="A7" i="3" s="1"/>
  <c r="A8" i="3" s="1"/>
  <c r="A9" i="3" s="1"/>
  <c r="A10" i="3" s="1"/>
  <c r="A11" i="3" s="1"/>
  <c r="A12" i="3" s="1"/>
  <c r="A13" i="3" s="1"/>
  <c r="D32" i="1" l="1"/>
  <c r="E22" i="3"/>
  <c r="E17" i="3"/>
  <c r="C44" i="1"/>
  <c r="D22" i="3"/>
  <c r="D17" i="3"/>
  <c r="C94" i="1"/>
  <c r="B32" i="1"/>
  <c r="B44" i="1"/>
  <c r="B91" i="1"/>
  <c r="B98" i="1"/>
  <c r="C91" i="1"/>
  <c r="C98" i="1"/>
  <c r="D18" i="1"/>
  <c r="C18" i="1"/>
  <c r="C32" i="1"/>
  <c r="B18" i="1"/>
  <c r="A24" i="3"/>
  <c r="A25" i="3" s="1"/>
  <c r="A26" i="3" s="1"/>
  <c r="A27" i="3" s="1"/>
  <c r="A28" i="3" s="1"/>
  <c r="A29" i="3" s="1"/>
  <c r="A30" i="3" s="1"/>
  <c r="A33" i="3"/>
  <c r="D20" i="1" l="1"/>
  <c r="E28" i="3"/>
  <c r="E48" i="3"/>
  <c r="E21" i="3"/>
  <c r="D28" i="3"/>
  <c r="D21" i="3"/>
  <c r="D22" i="1"/>
  <c r="D51" i="1"/>
  <c r="D36" i="1"/>
  <c r="B20" i="1"/>
  <c r="B36" i="1"/>
  <c r="C20" i="1"/>
  <c r="C36" i="1"/>
  <c r="D111" i="1"/>
  <c r="D126" i="1" s="1"/>
  <c r="D37" i="1"/>
  <c r="A39" i="3"/>
  <c r="A40" i="3" s="1"/>
  <c r="A41" i="3" s="1"/>
  <c r="A42" i="3" s="1"/>
  <c r="A43" i="3" s="1"/>
  <c r="A44" i="3" s="1"/>
  <c r="A46" i="3" s="1"/>
  <c r="A48" i="3" s="1"/>
  <c r="A50" i="3" s="1"/>
  <c r="A34" i="3"/>
  <c r="A35" i="3" s="1"/>
  <c r="A36" i="3" s="1"/>
  <c r="A37" i="3" s="1"/>
  <c r="D144" i="1" l="1"/>
  <c r="D157" i="1"/>
  <c r="E31" i="3" s="1"/>
  <c r="E30" i="3" s="1"/>
  <c r="E47" i="3"/>
  <c r="E37" i="3"/>
  <c r="E49" i="3" s="1"/>
  <c r="E20" i="3"/>
  <c r="E19" i="3"/>
  <c r="D20" i="3"/>
  <c r="D19" i="3"/>
  <c r="C22" i="1"/>
  <c r="C51" i="1"/>
  <c r="B22" i="1"/>
  <c r="B37" i="1" s="1"/>
  <c r="B51" i="1"/>
  <c r="C111" i="1"/>
  <c r="C126" i="1" s="1"/>
  <c r="C37" i="1"/>
  <c r="B111" i="1"/>
  <c r="B126" i="1" s="1"/>
  <c r="E18" i="3" l="1"/>
  <c r="E50" i="3"/>
  <c r="C144" i="1"/>
  <c r="C157" i="1"/>
  <c r="D31" i="3" s="1"/>
  <c r="D30" i="3" s="1"/>
  <c r="D47" i="3"/>
  <c r="D37" i="3"/>
  <c r="D49" i="3" s="1"/>
  <c r="D50" i="3"/>
  <c r="D18" i="3"/>
  <c r="D48" i="3"/>
</calcChain>
</file>

<file path=xl/sharedStrings.xml><?xml version="1.0" encoding="utf-8"?>
<sst xmlns="http://schemas.openxmlformats.org/spreadsheetml/2006/main" count="227" uniqueCount="182">
  <si>
    <t>Instructions</t>
  </si>
  <si>
    <t>Sheet contains the financial statements of Apple Inc. extracted from the most recent annual report:</t>
  </si>
  <si>
    <t>https://investor.apple.com/investor-relations/default.aspx</t>
  </si>
  <si>
    <t>You are required to perform a ratio analysis in excel using the information provided from this financial statements</t>
  </si>
  <si>
    <t>The ratios that should be calculated are listed in the ratios tab</t>
  </si>
  <si>
    <t>In addition to the above, you are required to calculate the growth rates for the following:</t>
  </si>
  <si>
    <t>Sales (each category and net sales)</t>
  </si>
  <si>
    <t>Gross profits</t>
  </si>
  <si>
    <t>Each operating expenses</t>
  </si>
  <si>
    <t>Main line items of the balance sheet</t>
  </si>
  <si>
    <t>You are required to calculate margins/ as a % of net sales for the following:</t>
  </si>
  <si>
    <t>COGS (Cost of goods sold)</t>
  </si>
  <si>
    <t>Operating income</t>
  </si>
  <si>
    <t>Net profit</t>
  </si>
  <si>
    <t>You are required to calculate the following additional items</t>
  </si>
  <si>
    <t>Income tax rate</t>
  </si>
  <si>
    <t>Capex as a percentage of sales</t>
  </si>
  <si>
    <t>Capex as a percentage of fixed assets</t>
  </si>
  <si>
    <t>* Market information like share price should be obtained from bloomberg.com from the particular day's closing price</t>
  </si>
  <si>
    <t>https://www.bloomberg.com/quote/AAPL:US</t>
  </si>
  <si>
    <t>All of the above ratios should be calculated in the "List of Ratios" tab</t>
  </si>
  <si>
    <t>Apple Inc.</t>
  </si>
  <si>
    <t>(In millions, except number of shares which are reflected in thousands and per share amounts)</t>
  </si>
  <si>
    <t>CONSOLIDATED STATEMENTS OF OPERATIONS</t>
  </si>
  <si>
    <t>Years ended September,</t>
  </si>
  <si>
    <t>Net sales:</t>
  </si>
  <si>
    <t>Products</t>
  </si>
  <si>
    <t>Services</t>
  </si>
  <si>
    <t>Total net sales</t>
  </si>
  <si>
    <t>Cost of sales:</t>
  </si>
  <si>
    <t>Total cost of sales</t>
  </si>
  <si>
    <t>Gross margin (gross profit)</t>
  </si>
  <si>
    <t>Operating expenses:</t>
  </si>
  <si>
    <t>Research and development</t>
  </si>
  <si>
    <t>Selling, general and administrative</t>
  </si>
  <si>
    <t>Total operating expenses</t>
  </si>
  <si>
    <t>Operating income (EBIT)</t>
  </si>
  <si>
    <t>Other income/(expense), net</t>
  </si>
  <si>
    <t>Income before provision for income taxes</t>
  </si>
  <si>
    <t>Provision for income taxes</t>
  </si>
  <si>
    <t>Net income</t>
  </si>
  <si>
    <t>Earnings per share:</t>
  </si>
  <si>
    <t>Basic</t>
  </si>
  <si>
    <t>Diluted</t>
  </si>
  <si>
    <t>Shares used in computing earnings per share:</t>
  </si>
  <si>
    <t>Margins</t>
  </si>
  <si>
    <t>Operating expenses</t>
  </si>
  <si>
    <t>Growth rates</t>
  </si>
  <si>
    <t xml:space="preserve">Sales </t>
  </si>
  <si>
    <t>-</t>
  </si>
  <si>
    <t>Tax rates</t>
  </si>
  <si>
    <t>CONSOLIDATED BALANCE SHEETS</t>
  </si>
  <si>
    <t>As at September,</t>
  </si>
  <si>
    <t>Current assets:</t>
  </si>
  <si>
    <t>Cash and cash equivalents</t>
  </si>
  <si>
    <t>Marketable securities</t>
  </si>
  <si>
    <t>Accounts receivable, net</t>
  </si>
  <si>
    <t>Inventories</t>
  </si>
  <si>
    <t>Vendor non trade receivables</t>
  </si>
  <si>
    <t>Other current assets</t>
  </si>
  <si>
    <t>Total current assets</t>
  </si>
  <si>
    <t>Non current assets:</t>
  </si>
  <si>
    <t>Property, plant and equipment, net</t>
  </si>
  <si>
    <t>Other non current assets</t>
  </si>
  <si>
    <t>Total non current assets</t>
  </si>
  <si>
    <t>Total assets</t>
  </si>
  <si>
    <t>Current liabilities:</t>
  </si>
  <si>
    <t>Accounts payable</t>
  </si>
  <si>
    <t>Other current liabilities</t>
  </si>
  <si>
    <t>Deferred revenue</t>
  </si>
  <si>
    <t>Commercial paper</t>
  </si>
  <si>
    <t>Term debt</t>
  </si>
  <si>
    <t>Total current liabilities</t>
  </si>
  <si>
    <t>Non current liabilities:</t>
  </si>
  <si>
    <t>Other non current liabilities</t>
  </si>
  <si>
    <t>Total non current liabilities</t>
  </si>
  <si>
    <t>Total liabilities</t>
  </si>
  <si>
    <t>Shareholders’ equity:</t>
  </si>
  <si>
    <t>Common stock and additional paid in capital, $0.00001 par value: 12,600,000 shares authorized; 4,443,236 and 4,754,986 shares issued and outstanding, respectively</t>
  </si>
  <si>
    <t>Retained earnings</t>
  </si>
  <si>
    <t>Accumulated other comprehensive income/(loss)</t>
  </si>
  <si>
    <t>Total shareholders’ equity</t>
  </si>
  <si>
    <t>Total liabilities and shareholders’ equity</t>
  </si>
  <si>
    <t xml:space="preserve">Total Assets </t>
  </si>
  <si>
    <t>CONSOLIDATED STATEMENTS OF CASH FLOWS</t>
  </si>
  <si>
    <t>Cash, cash equivalents and restricted cash, beginning balances</t>
  </si>
  <si>
    <t>Operating activities:</t>
  </si>
  <si>
    <t>Adjustments to reconcile net income to cash generated by operating</t>
  </si>
  <si>
    <t>Depreciation and amortization</t>
  </si>
  <si>
    <t>Share based compensation expense</t>
  </si>
  <si>
    <t>Deferred income tax expense/(benefit)</t>
  </si>
  <si>
    <t>Other</t>
  </si>
  <si>
    <t>Changes in operating assets and liabilities:</t>
  </si>
  <si>
    <t>Other current and non current assets</t>
  </si>
  <si>
    <t>Other current and non current liabilities</t>
  </si>
  <si>
    <t>Cash generated by operating activities</t>
  </si>
  <si>
    <t>Investing activities:</t>
  </si>
  <si>
    <t>Purchases of marketable securities</t>
  </si>
  <si>
    <t>Proceeds from maturities of marketable securities</t>
  </si>
  <si>
    <t>Proceeds from sales of marketable securities</t>
  </si>
  <si>
    <t>Payments for acquisition of property, plant and equipment</t>
  </si>
  <si>
    <t>Payments made in connection with business acquisitions, net</t>
  </si>
  <si>
    <t>Cash generated by/(used in) investing activities</t>
  </si>
  <si>
    <t>Financing activities:</t>
  </si>
  <si>
    <t>Payments for taxes related to net share settlement of equity awards</t>
  </si>
  <si>
    <t>Payments for dividends and dividend equivalents</t>
  </si>
  <si>
    <t>Repurchases of common stock</t>
  </si>
  <si>
    <t>Proceeds from issuance of term debt, net</t>
  </si>
  <si>
    <t>Repayments of term debt</t>
  </si>
  <si>
    <t>Proceeds from/(Repayments of) commercial paper, net</t>
  </si>
  <si>
    <t>Cash used in financing activities</t>
  </si>
  <si>
    <t>Increase/(Decrease) in cash, cash equivalents and restricted</t>
  </si>
  <si>
    <t>Cash, cash equivalents and restricted cash, ending balances</t>
  </si>
  <si>
    <t>Supplemental cash flow disclosure:</t>
  </si>
  <si>
    <t>Cash paid for income taxes, net</t>
  </si>
  <si>
    <t>Cash paid for interest</t>
  </si>
  <si>
    <t xml:space="preserve">CAPEX as  % of sales </t>
  </si>
  <si>
    <t xml:space="preserve">CAPEX as  % of fixed assets </t>
  </si>
  <si>
    <t>FCFE</t>
  </si>
  <si>
    <t>Liquidity</t>
  </si>
  <si>
    <t>Current ratio</t>
  </si>
  <si>
    <t>Quick Ratio</t>
  </si>
  <si>
    <t>Cash Ratio</t>
  </si>
  <si>
    <t>Defensive Interval</t>
  </si>
  <si>
    <t>Working capital items</t>
  </si>
  <si>
    <t>Inventory Days</t>
  </si>
  <si>
    <t>Payable Days</t>
  </si>
  <si>
    <t xml:space="preserve">Current liabilities </t>
  </si>
  <si>
    <t>Receivable Days</t>
  </si>
  <si>
    <t>Net trading cycle</t>
  </si>
  <si>
    <t>Sales</t>
  </si>
  <si>
    <t>Working Capital as a % of Sales</t>
  </si>
  <si>
    <t>Working Capital</t>
  </si>
  <si>
    <t>Profitability</t>
  </si>
  <si>
    <t>Gross margin</t>
  </si>
  <si>
    <t xml:space="preserve">revenue </t>
  </si>
  <si>
    <t>EBITDA margin</t>
  </si>
  <si>
    <t>EBITDA</t>
  </si>
  <si>
    <t>EBIT margin</t>
  </si>
  <si>
    <t>EBIT</t>
  </si>
  <si>
    <t>Net margin</t>
  </si>
  <si>
    <t>Solvency/ debt management</t>
  </si>
  <si>
    <t>Debt to equity (D/E)</t>
  </si>
  <si>
    <t>Debt to total assets</t>
  </si>
  <si>
    <t>Long-term debt to capital</t>
  </si>
  <si>
    <t>Times interest earned</t>
  </si>
  <si>
    <t>Debt coverage</t>
  </si>
  <si>
    <t>Free cash flow (FCFE) per share</t>
  </si>
  <si>
    <t>Asset utilization</t>
  </si>
  <si>
    <t>Total asset turnover</t>
  </si>
  <si>
    <t>Fixed asset turnover</t>
  </si>
  <si>
    <t>Inventory turnover</t>
  </si>
  <si>
    <t>Return on assets (ROA)</t>
  </si>
  <si>
    <t>Investor/market ratios</t>
  </si>
  <si>
    <t>Price to equity (P/E)</t>
  </si>
  <si>
    <t>Earnings per share (EPS)</t>
  </si>
  <si>
    <t>Price to book value (PBV)</t>
  </si>
  <si>
    <t>Book value per share (BV)</t>
  </si>
  <si>
    <t>Dividend payout ratio</t>
  </si>
  <si>
    <t>Dividend per share</t>
  </si>
  <si>
    <t>Dividend yield</t>
  </si>
  <si>
    <t>Return on equity (ROE)</t>
  </si>
  <si>
    <t>Return on capital employed (ROCE)</t>
  </si>
  <si>
    <t>Enterprise value to EBITDA (EV/EBITDA)</t>
  </si>
  <si>
    <t>Enterprise value (EV)</t>
  </si>
  <si>
    <t>APPLE SHARE PRICE  (bloomberg)</t>
  </si>
  <si>
    <t>GROWTH RATES</t>
  </si>
  <si>
    <t>Quick Assets / Current Liabilities where Quick Assets = Cash + Cash Equivalents + Marketable Securities + Net Accounts Receivable</t>
  </si>
  <si>
    <t>Current Assets / Daily Operational Expenses where Daily Operational Expenses = (Annual Operating Expenses - Noncash Charges) / 365</t>
  </si>
  <si>
    <t>Should be multiplies by 365</t>
  </si>
  <si>
    <t>Inventory Days + Receivable Days - Payable Days</t>
  </si>
  <si>
    <t>Current Assets - Current Liabilities. Current Liabilities is linked to the wrong cell</t>
  </si>
  <si>
    <t>Net Income / Total Net sales</t>
  </si>
  <si>
    <t>Include only term debt in non-current liabilities, since current debt is not included here.</t>
  </si>
  <si>
    <t>EBIT / (Interest + Debt repayment)</t>
  </si>
  <si>
    <t>Please use the Diluted share count for this calculation and note that the income statement is in millions while the share count is in absolute value, therefore, please divide the share count by 1,000</t>
  </si>
  <si>
    <t>Net Income / Total Assets</t>
  </si>
  <si>
    <t>EBIT / Capital Employed where Capital Employed = Equity + Term Debt</t>
  </si>
  <si>
    <t>Please note that the income statement is in millions while the share count is in absolute value, therefore, please divide the share count by 1,000
Market Cap + Total Debt - (Cash + Cash Equivalents). Include only term debt for debt value</t>
  </si>
  <si>
    <t>Feedback</t>
  </si>
  <si>
    <t>Cash + Cash Equivalents / Current Liabilities. Cash Equivalents is marketable securities in current assets.</t>
  </si>
  <si>
    <t xml:space="preserve">Current assets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</si>
</sst>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_(* \(#,##0.00\);_(* &quot;-&quot;??_);_(@_)"/>
    <numFmt numFmtId="165" formatCode="_(* #,##0_);_(* \(#,##0\);_(* &quot;-&quot;??_);_(@_)"/>
    <numFmt numFmtId="166" formatCode="0.0"/>
    <numFmt numFmtId="167" formatCode="0.0%"/>
    <numFmt numFmtId="168" formatCode="0.00000"/>
    <numFmt numFmtId="169" formatCode="0.000"/>
    <numFmt numFmtId="170" formatCode="_(* #,##0.0_);_(* \(#,##0.0\);_(*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theme="0"/>
      <name val="Calibri"/>
      <family val="2"/>
      <scheme val="minor"/>
    </font>
    <font>
      <b/>
      <sz val="20"/>
      <color theme="0"/>
      <name val="Calibri"/>
      <family val="2"/>
      <scheme val="minor"/>
    </font>
    <font>
      <u/>
      <sz val="11"/>
      <color theme="10"/>
      <name val="Calibri"/>
      <family val="2"/>
      <scheme val="minor"/>
    </font>
    <font>
      <sz val="20"/>
      <color theme="0"/>
      <name val="Calibri"/>
      <family val="2"/>
      <scheme val="minor"/>
    </font>
    <font>
      <i/>
      <sz val="11"/>
      <color theme="1"/>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9" tint="0.79998168889431442"/>
        <bgColor indexed="64"/>
      </patternFill>
    </fill>
    <fill>
      <patternFill patternType="solid">
        <fgColor theme="9"/>
        <bgColor indexed="64"/>
      </patternFill>
    </fill>
    <fill>
      <patternFill patternType="solid">
        <fgColor theme="7" tint="0.79998168889431442"/>
        <bgColor indexed="64"/>
      </patternFill>
    </fill>
    <fill>
      <patternFill patternType="solid">
        <fgColor rgb="FFFF0000"/>
        <bgColor indexed="64"/>
      </patternFill>
    </fill>
  </fills>
  <borders count="4">
    <border>
      <left/>
      <right/>
      <top/>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cellStyleXfs>
  <cellXfs count="64">
    <xf numFmtId="0" fontId="0" fillId="0" borderId="0" xfId="0"/>
    <xf numFmtId="0" fontId="0" fillId="0" borderId="0" xfId="0" applyAlignment="1">
      <alignment horizontal="left" indent="1"/>
    </xf>
    <xf numFmtId="3" fontId="0" fillId="0" borderId="0" xfId="0" applyNumberFormat="1"/>
    <xf numFmtId="0" fontId="0" fillId="0" borderId="0" xfId="0" applyAlignment="1">
      <alignment horizontal="left" indent="2"/>
    </xf>
    <xf numFmtId="0" fontId="3" fillId="2" borderId="0" xfId="0" applyFont="1" applyFill="1"/>
    <xf numFmtId="0" fontId="4" fillId="2" borderId="0" xfId="0" applyFont="1" applyFill="1"/>
    <xf numFmtId="0" fontId="5" fillId="2" borderId="0" xfId="0" applyFont="1" applyFill="1" applyAlignment="1">
      <alignment vertical="center"/>
    </xf>
    <xf numFmtId="0" fontId="2" fillId="0" borderId="0" xfId="0" applyFont="1"/>
    <xf numFmtId="0" fontId="2" fillId="0" borderId="1" xfId="0" applyFont="1" applyBorder="1"/>
    <xf numFmtId="0" fontId="2" fillId="0" borderId="2" xfId="0" applyFont="1" applyBorder="1"/>
    <xf numFmtId="0" fontId="0" fillId="4" borderId="0" xfId="0" applyFill="1"/>
    <xf numFmtId="0" fontId="2" fillId="0" borderId="0" xfId="0" applyFont="1" applyAlignment="1">
      <alignment horizontal="left" indent="1"/>
    </xf>
    <xf numFmtId="165" fontId="0" fillId="0" borderId="0" xfId="1" applyNumberFormat="1" applyFont="1"/>
    <xf numFmtId="165" fontId="2" fillId="0" borderId="1" xfId="1" applyNumberFormat="1" applyFont="1" applyBorder="1"/>
    <xf numFmtId="165" fontId="2" fillId="0" borderId="2" xfId="1" applyNumberFormat="1" applyFont="1" applyBorder="1"/>
    <xf numFmtId="165" fontId="2" fillId="0" borderId="0" xfId="1" applyNumberFormat="1" applyFont="1"/>
    <xf numFmtId="0" fontId="6" fillId="0" borderId="0" xfId="2" applyAlignment="1">
      <alignment horizontal="left" indent="1"/>
    </xf>
    <xf numFmtId="0" fontId="2" fillId="0" borderId="0" xfId="0" applyFont="1" applyAlignment="1">
      <alignment horizontal="left"/>
    </xf>
    <xf numFmtId="166" fontId="0" fillId="0" borderId="0" xfId="0" applyNumberFormat="1"/>
    <xf numFmtId="0" fontId="3" fillId="2" borderId="0" xfId="0" applyFont="1" applyFill="1" applyAlignment="1">
      <alignment horizontal="center"/>
    </xf>
    <xf numFmtId="0" fontId="7" fillId="2" borderId="0" xfId="0" applyFont="1" applyFill="1" applyAlignment="1">
      <alignment horizontal="left"/>
    </xf>
    <xf numFmtId="165" fontId="0" fillId="0" borderId="3" xfId="1" applyNumberFormat="1" applyFont="1" applyBorder="1"/>
    <xf numFmtId="0" fontId="2" fillId="0" borderId="3" xfId="0" applyFont="1" applyBorder="1" applyAlignment="1">
      <alignment horizontal="left"/>
    </xf>
    <xf numFmtId="9" fontId="0" fillId="0" borderId="0" xfId="3" applyFont="1"/>
    <xf numFmtId="0" fontId="8" fillId="0" borderId="0" xfId="0" applyFont="1" applyAlignment="1">
      <alignment horizontal="left" indent="3"/>
    </xf>
    <xf numFmtId="9" fontId="0" fillId="0" borderId="0" xfId="3" applyFont="1" applyAlignment="1">
      <alignment horizontal="right"/>
    </xf>
    <xf numFmtId="0" fontId="2" fillId="5" borderId="0" xfId="0" applyFont="1" applyFill="1" applyAlignment="1">
      <alignment horizontal="left"/>
    </xf>
    <xf numFmtId="0" fontId="0" fillId="5" borderId="0" xfId="0" applyFill="1" applyAlignment="1">
      <alignment horizontal="left" indent="1"/>
    </xf>
    <xf numFmtId="0" fontId="2" fillId="6" borderId="0" xfId="0" applyFont="1" applyFill="1" applyAlignment="1">
      <alignment horizontal="left" indent="1"/>
    </xf>
    <xf numFmtId="0" fontId="0" fillId="6" borderId="0" xfId="0" applyFill="1"/>
    <xf numFmtId="9" fontId="0" fillId="6" borderId="0" xfId="3" applyFont="1" applyFill="1" applyAlignment="1">
      <alignment horizontal="right"/>
    </xf>
    <xf numFmtId="165" fontId="2" fillId="0" borderId="0" xfId="1" applyNumberFormat="1" applyFont="1" applyBorder="1"/>
    <xf numFmtId="165" fontId="0" fillId="0" borderId="0" xfId="0" applyNumberFormat="1"/>
    <xf numFmtId="0" fontId="8" fillId="0" borderId="0" xfId="0" applyFont="1" applyAlignment="1">
      <alignment horizontal="left" indent="2"/>
    </xf>
    <xf numFmtId="9" fontId="2" fillId="0" borderId="0" xfId="3" applyFont="1" applyAlignment="1">
      <alignment horizontal="right"/>
    </xf>
    <xf numFmtId="9" fontId="2" fillId="6" borderId="0" xfId="3" applyFont="1" applyFill="1" applyAlignment="1">
      <alignment horizontal="right"/>
    </xf>
    <xf numFmtId="9" fontId="1" fillId="0" borderId="0" xfId="3" applyFont="1" applyAlignment="1">
      <alignment horizontal="right"/>
    </xf>
    <xf numFmtId="167" fontId="0" fillId="0" borderId="0" xfId="3" applyNumberFormat="1" applyFont="1"/>
    <xf numFmtId="167" fontId="1" fillId="0" borderId="0" xfId="3" applyNumberFormat="1" applyFont="1" applyBorder="1"/>
    <xf numFmtId="167" fontId="1" fillId="0" borderId="0" xfId="3" applyNumberFormat="1" applyFont="1"/>
    <xf numFmtId="167" fontId="1" fillId="0" borderId="0" xfId="3" applyNumberFormat="1" applyFont="1" applyBorder="1" applyAlignment="1">
      <alignment horizontal="right"/>
    </xf>
    <xf numFmtId="167" fontId="0" fillId="0" borderId="0" xfId="3" applyNumberFormat="1" applyFont="1" applyAlignment="1">
      <alignment horizontal="right"/>
    </xf>
    <xf numFmtId="0" fontId="2" fillId="6" borderId="0" xfId="0" applyFont="1" applyFill="1"/>
    <xf numFmtId="168" fontId="0" fillId="0" borderId="0" xfId="0" applyNumberFormat="1"/>
    <xf numFmtId="169" fontId="0" fillId="0" borderId="0" xfId="0" applyNumberFormat="1"/>
    <xf numFmtId="2" fontId="0" fillId="0" borderId="0" xfId="0" applyNumberFormat="1"/>
    <xf numFmtId="1" fontId="0" fillId="0" borderId="0" xfId="0" applyNumberFormat="1"/>
    <xf numFmtId="0" fontId="2" fillId="5" borderId="0" xfId="0" applyFont="1" applyFill="1"/>
    <xf numFmtId="165" fontId="2" fillId="5" borderId="0" xfId="0" applyNumberFormat="1" applyFont="1" applyFill="1"/>
    <xf numFmtId="2" fontId="0" fillId="7" borderId="0" xfId="0" applyNumberFormat="1" applyFill="1"/>
    <xf numFmtId="0" fontId="0" fillId="7" borderId="0" xfId="0" applyFill="1"/>
    <xf numFmtId="9" fontId="0" fillId="7" borderId="0" xfId="0" applyNumberFormat="1" applyFill="1"/>
    <xf numFmtId="10" fontId="0" fillId="7" borderId="0" xfId="0" applyNumberFormat="1" applyFill="1"/>
    <xf numFmtId="10" fontId="0" fillId="0" borderId="0" xfId="0" applyNumberFormat="1"/>
    <xf numFmtId="165" fontId="0" fillId="7" borderId="0" xfId="0" applyNumberFormat="1" applyFill="1"/>
    <xf numFmtId="9" fontId="0" fillId="0" borderId="0" xfId="0" applyNumberFormat="1"/>
    <xf numFmtId="0" fontId="2" fillId="0" borderId="0" xfId="0" applyFont="1" applyAlignment="1">
      <alignment horizontal="center"/>
    </xf>
    <xf numFmtId="0" fontId="2" fillId="3" borderId="0" xfId="0" applyFont="1" applyFill="1" applyAlignment="1">
      <alignment horizontal="center"/>
    </xf>
    <xf numFmtId="0" fontId="0" fillId="0" borderId="0" xfId="0" applyAlignment="1">
      <alignment horizontal="center"/>
    </xf>
    <xf numFmtId="170" fontId="0" fillId="7" borderId="0" xfId="0" applyNumberFormat="1" applyFill="1"/>
    <xf numFmtId="0" fontId="0" fillId="0" borderId="0" xfId="0" applyAlignment="1">
      <alignment wrapText="1"/>
    </xf>
    <xf numFmtId="166" fontId="0" fillId="0" borderId="0" xfId="0" applyNumberFormat="1" applyAlignment="1">
      <alignment wrapText="1"/>
    </xf>
    <xf numFmtId="0" fontId="0" fillId="0" borderId="0" xfId="0" applyAlignment="1">
      <alignment horizontal="left" wrapText="1"/>
    </xf>
    <xf numFmtId="164" fontId="0" fillId="0" borderId="0" xfId="1" applyFont="1" applyAlignment="1">
      <alignment wrapText="1"/>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loomberg.com/quote/AAPL:US" TargetMode="External"/><Relationship Id="rId1" Type="http://schemas.openxmlformats.org/officeDocument/2006/relationships/hyperlink" Target="https://investor.apple.com/investor-relations/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topLeftCell="A12" workbookViewId="0">
      <selection activeCell="A40" sqref="A40"/>
    </sheetView>
  </sheetViews>
  <sheetFormatPr defaultColWidth="8.88671875" defaultRowHeight="14.4" x14ac:dyDescent="0.3"/>
  <cols>
    <col min="1" max="1" width="104.44140625" customWidth="1"/>
  </cols>
  <sheetData>
    <row r="1" spans="1:1" ht="23.4" x14ac:dyDescent="0.45">
      <c r="A1" s="5" t="s">
        <v>0</v>
      </c>
    </row>
    <row r="3" spans="1:1" x14ac:dyDescent="0.3">
      <c r="A3" s="7" t="s">
        <v>1</v>
      </c>
    </row>
    <row r="4" spans="1:1" x14ac:dyDescent="0.3">
      <c r="A4" s="16" t="s">
        <v>2</v>
      </c>
    </row>
    <row r="5" spans="1:1" x14ac:dyDescent="0.3">
      <c r="A5" s="7" t="s">
        <v>3</v>
      </c>
    </row>
    <row r="6" spans="1:1" x14ac:dyDescent="0.3">
      <c r="A6" s="1" t="s">
        <v>4</v>
      </c>
    </row>
    <row r="7" spans="1:1" x14ac:dyDescent="0.3">
      <c r="A7" s="1"/>
    </row>
    <row r="8" spans="1:1" x14ac:dyDescent="0.3">
      <c r="A8" s="17" t="s">
        <v>5</v>
      </c>
    </row>
    <row r="9" spans="1:1" x14ac:dyDescent="0.3">
      <c r="A9" s="27" t="s">
        <v>6</v>
      </c>
    </row>
    <row r="10" spans="1:1" x14ac:dyDescent="0.3">
      <c r="A10" s="27" t="s">
        <v>7</v>
      </c>
    </row>
    <row r="11" spans="1:1" x14ac:dyDescent="0.3">
      <c r="A11" s="27" t="s">
        <v>8</v>
      </c>
    </row>
    <row r="12" spans="1:1" x14ac:dyDescent="0.3">
      <c r="A12" s="27" t="s">
        <v>9</v>
      </c>
    </row>
    <row r="13" spans="1:1" x14ac:dyDescent="0.3">
      <c r="A13" s="1"/>
    </row>
    <row r="14" spans="1:1" x14ac:dyDescent="0.3">
      <c r="A14" s="26" t="s">
        <v>10</v>
      </c>
    </row>
    <row r="15" spans="1:1" x14ac:dyDescent="0.3">
      <c r="A15" s="27" t="s">
        <v>11</v>
      </c>
    </row>
    <row r="16" spans="1:1" x14ac:dyDescent="0.3">
      <c r="A16" s="27" t="s">
        <v>7</v>
      </c>
    </row>
    <row r="17" spans="1:1" x14ac:dyDescent="0.3">
      <c r="A17" s="27" t="s">
        <v>8</v>
      </c>
    </row>
    <row r="18" spans="1:1" x14ac:dyDescent="0.3">
      <c r="A18" s="27" t="s">
        <v>12</v>
      </c>
    </row>
    <row r="19" spans="1:1" x14ac:dyDescent="0.3">
      <c r="A19" s="27" t="s">
        <v>13</v>
      </c>
    </row>
    <row r="20" spans="1:1" x14ac:dyDescent="0.3">
      <c r="A20" s="1"/>
    </row>
    <row r="21" spans="1:1" x14ac:dyDescent="0.3">
      <c r="A21" s="17" t="s">
        <v>14</v>
      </c>
    </row>
    <row r="22" spans="1:1" x14ac:dyDescent="0.3">
      <c r="A22" s="27" t="s">
        <v>15</v>
      </c>
    </row>
    <row r="23" spans="1:1" x14ac:dyDescent="0.3">
      <c r="A23" s="27" t="s">
        <v>16</v>
      </c>
    </row>
    <row r="24" spans="1:1" x14ac:dyDescent="0.3">
      <c r="A24" s="27" t="s">
        <v>17</v>
      </c>
    </row>
    <row r="25" spans="1:1" x14ac:dyDescent="0.3">
      <c r="A25" s="1"/>
    </row>
    <row r="26" spans="1:1" x14ac:dyDescent="0.3">
      <c r="A26" s="17" t="s">
        <v>18</v>
      </c>
    </row>
    <row r="27" spans="1:1" x14ac:dyDescent="0.3">
      <c r="A27" s="16" t="s">
        <v>19</v>
      </c>
    </row>
    <row r="29" spans="1:1" x14ac:dyDescent="0.3">
      <c r="A29" s="7" t="s">
        <v>20</v>
      </c>
    </row>
  </sheetData>
  <hyperlinks>
    <hyperlink ref="A4" r:id="rId1"/>
    <hyperlink ref="A27"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7"/>
  <sheetViews>
    <sheetView topLeftCell="A89" workbookViewId="0">
      <selection activeCell="A114" sqref="A114"/>
    </sheetView>
  </sheetViews>
  <sheetFormatPr defaultColWidth="8.88671875" defaultRowHeight="14.4" x14ac:dyDescent="0.3"/>
  <cols>
    <col min="1" max="1" width="59" customWidth="1"/>
    <col min="2" max="3" width="11.44140625" bestFit="1" customWidth="1"/>
    <col min="4" max="4" width="11.6640625" bestFit="1" customWidth="1"/>
  </cols>
  <sheetData>
    <row r="1" spans="1:10" ht="60" customHeight="1" x14ac:dyDescent="0.3">
      <c r="A1" s="6" t="s">
        <v>21</v>
      </c>
      <c r="B1" s="4" t="s">
        <v>22</v>
      </c>
      <c r="C1" s="4"/>
      <c r="D1" s="4"/>
      <c r="E1" s="4"/>
      <c r="F1" s="4"/>
      <c r="G1" s="4"/>
      <c r="H1" s="4"/>
      <c r="I1" s="4"/>
      <c r="J1" s="4"/>
    </row>
    <row r="2" spans="1:10" x14ac:dyDescent="0.3">
      <c r="A2" s="57" t="s">
        <v>23</v>
      </c>
      <c r="B2" s="57"/>
      <c r="C2" s="57"/>
      <c r="D2" s="57"/>
    </row>
    <row r="3" spans="1:10" x14ac:dyDescent="0.3">
      <c r="B3" s="56" t="s">
        <v>24</v>
      </c>
      <c r="C3" s="56"/>
      <c r="D3" s="56"/>
    </row>
    <row r="4" spans="1:10" x14ac:dyDescent="0.3">
      <c r="B4" s="7">
        <v>2022</v>
      </c>
      <c r="C4" s="7">
        <v>2021</v>
      </c>
      <c r="D4" s="7">
        <v>2020</v>
      </c>
    </row>
    <row r="5" spans="1:10" x14ac:dyDescent="0.3">
      <c r="A5" t="s">
        <v>25</v>
      </c>
    </row>
    <row r="6" spans="1:10" x14ac:dyDescent="0.3">
      <c r="A6" s="1" t="s">
        <v>26</v>
      </c>
      <c r="B6" s="12">
        <v>316199</v>
      </c>
      <c r="C6" s="12">
        <v>297392</v>
      </c>
      <c r="D6" s="12">
        <v>220747</v>
      </c>
    </row>
    <row r="7" spans="1:10" x14ac:dyDescent="0.3">
      <c r="A7" s="1" t="s">
        <v>27</v>
      </c>
      <c r="B7" s="12">
        <v>78129</v>
      </c>
      <c r="C7" s="12">
        <v>68425</v>
      </c>
      <c r="D7" s="12">
        <v>53768</v>
      </c>
    </row>
    <row r="8" spans="1:10" x14ac:dyDescent="0.3">
      <c r="A8" s="8" t="s">
        <v>28</v>
      </c>
      <c r="B8" s="13">
        <f>+B6+B7</f>
        <v>394328</v>
      </c>
      <c r="C8" s="13">
        <f t="shared" ref="C8:D8" si="0">+C6+C7</f>
        <v>365817</v>
      </c>
      <c r="D8" s="13">
        <f t="shared" si="0"/>
        <v>274515</v>
      </c>
    </row>
    <row r="9" spans="1:10" x14ac:dyDescent="0.3">
      <c r="A9" t="s">
        <v>29</v>
      </c>
      <c r="B9" s="12"/>
      <c r="C9" s="12"/>
      <c r="D9" s="12"/>
    </row>
    <row r="10" spans="1:10" x14ac:dyDescent="0.3">
      <c r="A10" s="1" t="s">
        <v>26</v>
      </c>
      <c r="B10" s="12">
        <v>201471</v>
      </c>
      <c r="C10" s="12">
        <v>192266</v>
      </c>
      <c r="D10" s="12">
        <v>151286</v>
      </c>
    </row>
    <row r="11" spans="1:10" x14ac:dyDescent="0.3">
      <c r="A11" s="1" t="s">
        <v>27</v>
      </c>
      <c r="B11" s="12">
        <v>22075</v>
      </c>
      <c r="C11" s="12">
        <v>20715</v>
      </c>
      <c r="D11" s="12">
        <v>18273</v>
      </c>
    </row>
    <row r="12" spans="1:10" x14ac:dyDescent="0.3">
      <c r="A12" s="8" t="s">
        <v>30</v>
      </c>
      <c r="B12" s="13">
        <f>+B10+B11</f>
        <v>223546</v>
      </c>
      <c r="C12" s="13">
        <f t="shared" ref="C12" si="1">+C10+C11</f>
        <v>212981</v>
      </c>
      <c r="D12" s="13">
        <v>169559</v>
      </c>
    </row>
    <row r="13" spans="1:10" x14ac:dyDescent="0.3">
      <c r="A13" s="8" t="s">
        <v>31</v>
      </c>
      <c r="B13" s="13">
        <f>+B8-B12</f>
        <v>170782</v>
      </c>
      <c r="C13" s="13">
        <f t="shared" ref="C13:D13" si="2">+C8-C12</f>
        <v>152836</v>
      </c>
      <c r="D13" s="13">
        <f t="shared" si="2"/>
        <v>104956</v>
      </c>
    </row>
    <row r="14" spans="1:10" x14ac:dyDescent="0.3">
      <c r="A14" t="s">
        <v>32</v>
      </c>
      <c r="B14" s="12"/>
      <c r="C14" s="12"/>
      <c r="D14" s="12"/>
    </row>
    <row r="15" spans="1:10" x14ac:dyDescent="0.3">
      <c r="A15" s="1" t="s">
        <v>33</v>
      </c>
      <c r="B15" s="12">
        <v>26251</v>
      </c>
      <c r="C15" s="12">
        <v>21914</v>
      </c>
      <c r="D15" s="12">
        <v>18752</v>
      </c>
      <c r="G15" s="32"/>
    </row>
    <row r="16" spans="1:10" x14ac:dyDescent="0.3">
      <c r="A16" s="1" t="s">
        <v>34</v>
      </c>
      <c r="B16" s="12">
        <v>25094</v>
      </c>
      <c r="C16" s="12">
        <v>21973</v>
      </c>
      <c r="D16" s="12">
        <v>19916</v>
      </c>
    </row>
    <row r="17" spans="1:4" x14ac:dyDescent="0.3">
      <c r="A17" s="8" t="s">
        <v>35</v>
      </c>
      <c r="B17" s="13">
        <f>+B15+B16</f>
        <v>51345</v>
      </c>
      <c r="C17" s="13">
        <f t="shared" ref="C17" si="3">+C15+C16</f>
        <v>43887</v>
      </c>
      <c r="D17" s="13">
        <f t="shared" ref="D17" si="4">+D15+D16</f>
        <v>38668</v>
      </c>
    </row>
    <row r="18" spans="1:4" s="7" customFormat="1" x14ac:dyDescent="0.3">
      <c r="A18" s="8" t="s">
        <v>36</v>
      </c>
      <c r="B18" s="13">
        <f>+B13-B17</f>
        <v>119437</v>
      </c>
      <c r="C18" s="13">
        <f t="shared" ref="C18:D18" si="5">+C13-C17</f>
        <v>108949</v>
      </c>
      <c r="D18" s="13">
        <f t="shared" si="5"/>
        <v>66288</v>
      </c>
    </row>
    <row r="19" spans="1:4" x14ac:dyDescent="0.3">
      <c r="A19" t="s">
        <v>37</v>
      </c>
      <c r="B19" s="12">
        <v>-334</v>
      </c>
      <c r="C19" s="12">
        <v>258</v>
      </c>
      <c r="D19" s="12">
        <v>803</v>
      </c>
    </row>
    <row r="20" spans="1:4" x14ac:dyDescent="0.3">
      <c r="A20" s="8" t="s">
        <v>38</v>
      </c>
      <c r="B20" s="13">
        <f>+B18+B19</f>
        <v>119103</v>
      </c>
      <c r="C20" s="13">
        <f t="shared" ref="C20:D20" si="6">+C18+C19</f>
        <v>109207</v>
      </c>
      <c r="D20" s="13">
        <f t="shared" si="6"/>
        <v>67091</v>
      </c>
    </row>
    <row r="21" spans="1:4" x14ac:dyDescent="0.3">
      <c r="A21" t="s">
        <v>39</v>
      </c>
      <c r="B21" s="12">
        <v>19300</v>
      </c>
      <c r="C21" s="12">
        <v>14527</v>
      </c>
      <c r="D21" s="12">
        <v>9680</v>
      </c>
    </row>
    <row r="22" spans="1:4" ht="15" thickBot="1" x14ac:dyDescent="0.35">
      <c r="A22" s="9" t="s">
        <v>40</v>
      </c>
      <c r="B22" s="14">
        <f>+B20-B21</f>
        <v>99803</v>
      </c>
      <c r="C22" s="14">
        <f t="shared" ref="C22:D22" si="7">+C20-C21</f>
        <v>94680</v>
      </c>
      <c r="D22" s="14">
        <f t="shared" si="7"/>
        <v>57411</v>
      </c>
    </row>
    <row r="23" spans="1:4" ht="15" thickTop="1" x14ac:dyDescent="0.3">
      <c r="A23" t="s">
        <v>41</v>
      </c>
    </row>
    <row r="24" spans="1:4" x14ac:dyDescent="0.3">
      <c r="A24" s="1" t="s">
        <v>42</v>
      </c>
      <c r="B24" s="10">
        <v>6.15</v>
      </c>
      <c r="C24" s="10">
        <v>5.67</v>
      </c>
      <c r="D24" s="10">
        <v>3.31</v>
      </c>
    </row>
    <row r="25" spans="1:4" x14ac:dyDescent="0.3">
      <c r="A25" s="1" t="s">
        <v>43</v>
      </c>
      <c r="B25" s="10">
        <v>6.11</v>
      </c>
      <c r="C25" s="10">
        <v>5.61</v>
      </c>
      <c r="D25" s="10">
        <v>3.28</v>
      </c>
    </row>
    <row r="26" spans="1:4" x14ac:dyDescent="0.3">
      <c r="A26" t="s">
        <v>44</v>
      </c>
    </row>
    <row r="27" spans="1:4" x14ac:dyDescent="0.3">
      <c r="A27" s="1" t="s">
        <v>42</v>
      </c>
      <c r="B27" s="2">
        <v>16215963</v>
      </c>
      <c r="C27" s="2">
        <v>16701272</v>
      </c>
      <c r="D27" s="2">
        <v>17352119</v>
      </c>
    </row>
    <row r="28" spans="1:4" x14ac:dyDescent="0.3">
      <c r="A28" s="1" t="s">
        <v>43</v>
      </c>
      <c r="B28" s="2">
        <v>16325819</v>
      </c>
      <c r="C28" s="2">
        <v>16864919</v>
      </c>
      <c r="D28" s="2">
        <v>17528214</v>
      </c>
    </row>
    <row r="30" spans="1:4" x14ac:dyDescent="0.3">
      <c r="A30" s="28" t="s">
        <v>45</v>
      </c>
      <c r="B30" s="29"/>
      <c r="C30" s="29"/>
      <c r="D30" s="29"/>
    </row>
    <row r="31" spans="1:4" x14ac:dyDescent="0.3">
      <c r="A31" s="1" t="s">
        <v>11</v>
      </c>
      <c r="B31" s="23">
        <f>B12/B8</f>
        <v>0.56690369438639909</v>
      </c>
      <c r="C31" s="23">
        <f t="shared" ref="C31:D31" si="8">C12/C8</f>
        <v>0.58220640374832222</v>
      </c>
      <c r="D31" s="23">
        <f t="shared" si="8"/>
        <v>0.61766752272189129</v>
      </c>
    </row>
    <row r="32" spans="1:4" x14ac:dyDescent="0.3">
      <c r="A32" s="1" t="s">
        <v>7</v>
      </c>
      <c r="B32" s="25">
        <f>B13/B8</f>
        <v>0.43309630561360085</v>
      </c>
      <c r="C32" s="25">
        <f t="shared" ref="C32:D32" si="9">C13/C8</f>
        <v>0.41779359625167778</v>
      </c>
      <c r="D32" s="25">
        <f t="shared" si="9"/>
        <v>0.38233247727810865</v>
      </c>
    </row>
    <row r="33" spans="1:5" x14ac:dyDescent="0.3">
      <c r="A33" s="1" t="s">
        <v>46</v>
      </c>
      <c r="B33" s="25"/>
      <c r="C33" s="25"/>
      <c r="D33" s="25"/>
    </row>
    <row r="34" spans="1:5" s="3" customFormat="1" x14ac:dyDescent="0.3">
      <c r="A34" s="24" t="str">
        <f>A15</f>
        <v>Research and development</v>
      </c>
      <c r="B34" s="25">
        <f>B15/B$8</f>
        <v>6.657148363798665E-2</v>
      </c>
      <c r="C34" s="25">
        <f t="shared" ref="C34:D34" si="10">C15/C$8</f>
        <v>5.9904269074427925E-2</v>
      </c>
      <c r="D34" s="25">
        <f t="shared" si="10"/>
        <v>6.8309564140393061E-2</v>
      </c>
    </row>
    <row r="35" spans="1:5" s="3" customFormat="1" x14ac:dyDescent="0.3">
      <c r="A35" s="24" t="str">
        <f t="shared" ref="A35" si="11">A16</f>
        <v>Selling, general and administrative</v>
      </c>
      <c r="B35" s="25">
        <f t="shared" ref="B35:D35" si="12">B16/B$8</f>
        <v>6.3637378020328261E-2</v>
      </c>
      <c r="C35" s="25">
        <f t="shared" si="12"/>
        <v>6.006555190163388E-2</v>
      </c>
      <c r="D35" s="25">
        <f t="shared" si="12"/>
        <v>7.2549769593646979E-2</v>
      </c>
    </row>
    <row r="36" spans="1:5" x14ac:dyDescent="0.3">
      <c r="A36" s="1" t="s">
        <v>12</v>
      </c>
      <c r="B36" s="25">
        <f>B18/B8</f>
        <v>0.30288744395528594</v>
      </c>
      <c r="C36" s="25">
        <f t="shared" ref="C36:D36" si="13">C18/C8</f>
        <v>0.29782377527561593</v>
      </c>
      <c r="D36" s="25">
        <f t="shared" si="13"/>
        <v>0.24147314354406862</v>
      </c>
    </row>
    <row r="37" spans="1:5" x14ac:dyDescent="0.3">
      <c r="A37" s="1" t="s">
        <v>13</v>
      </c>
      <c r="B37" s="25">
        <f>B22/B8</f>
        <v>0.25309640705199732</v>
      </c>
      <c r="C37" s="25">
        <f t="shared" ref="C37:D37" si="14">C22/C8</f>
        <v>0.25881793355694238</v>
      </c>
      <c r="D37" s="25">
        <f t="shared" si="14"/>
        <v>0.20913611278072236</v>
      </c>
    </row>
    <row r="38" spans="1:5" x14ac:dyDescent="0.3">
      <c r="A38" s="1"/>
      <c r="B38" s="25"/>
      <c r="C38" s="25"/>
      <c r="D38" s="25"/>
    </row>
    <row r="39" spans="1:5" x14ac:dyDescent="0.3">
      <c r="A39" s="28" t="s">
        <v>47</v>
      </c>
      <c r="B39" s="30"/>
      <c r="C39" s="30"/>
      <c r="D39" s="30"/>
    </row>
    <row r="40" spans="1:5" x14ac:dyDescent="0.3">
      <c r="A40" s="1" t="s">
        <v>48</v>
      </c>
      <c r="B40" s="36">
        <f t="shared" ref="B40" si="15">(B12-C12)/C12</f>
        <v>4.9605363858747961E-2</v>
      </c>
      <c r="C40" s="36">
        <f>(C12-D12)/D12</f>
        <v>0.25608785142634716</v>
      </c>
      <c r="D40" s="36" t="s">
        <v>49</v>
      </c>
    </row>
    <row r="41" spans="1:5" x14ac:dyDescent="0.3">
      <c r="A41" s="24" t="str">
        <f>A10</f>
        <v>Products</v>
      </c>
      <c r="B41" s="25">
        <f t="shared" ref="B41" si="16">(B10-C10)/C10</f>
        <v>4.7876379599097081E-2</v>
      </c>
      <c r="C41" s="25">
        <f>(C10-D10)/D10</f>
        <v>0.27087767539626934</v>
      </c>
      <c r="D41" s="25" t="s">
        <v>49</v>
      </c>
    </row>
    <row r="42" spans="1:5" x14ac:dyDescent="0.3">
      <c r="A42" s="24" t="str">
        <f t="shared" ref="A42" si="17">A11</f>
        <v>Services</v>
      </c>
      <c r="B42" s="25">
        <f t="shared" ref="B42" si="18">(B11-C11)/C11</f>
        <v>6.5652908520395847E-2</v>
      </c>
      <c r="C42" s="25">
        <f>(C11-D11)/D11</f>
        <v>0.13363979642094895</v>
      </c>
      <c r="D42" s="25" t="s">
        <v>49</v>
      </c>
    </row>
    <row r="43" spans="1:5" x14ac:dyDescent="0.3">
      <c r="A43" s="24"/>
      <c r="B43" s="25"/>
      <c r="C43" s="25"/>
      <c r="D43" s="25"/>
    </row>
    <row r="44" spans="1:5" x14ac:dyDescent="0.3">
      <c r="A44" s="1" t="s">
        <v>7</v>
      </c>
      <c r="B44" s="36">
        <f t="shared" ref="B44" si="19">(B13-C13)/C13</f>
        <v>0.11741997958596143</v>
      </c>
      <c r="C44" s="36">
        <f>(C13-D13)/D13</f>
        <v>0.45619116582186819</v>
      </c>
      <c r="D44" s="36" t="s">
        <v>49</v>
      </c>
    </row>
    <row r="45" spans="1:5" x14ac:dyDescent="0.3">
      <c r="A45" s="11"/>
      <c r="B45" s="34"/>
      <c r="C45" s="34"/>
      <c r="D45" s="34"/>
      <c r="E45">
        <f>'Financial Statements'!D137/('Financial Statements'!D28/-1000)</f>
        <v>0.80333341434558025</v>
      </c>
    </row>
    <row r="46" spans="1:5" x14ac:dyDescent="0.3">
      <c r="A46" s="1" t="s">
        <v>46</v>
      </c>
      <c r="B46" s="36">
        <f t="shared" ref="B46" si="20">(B17-C17)/C17</f>
        <v>0.16993642764372138</v>
      </c>
      <c r="C46" s="36">
        <f>(C17-D17)/D17</f>
        <v>0.13496948381090307</v>
      </c>
      <c r="D46" s="36" t="s">
        <v>49</v>
      </c>
    </row>
    <row r="47" spans="1:5" x14ac:dyDescent="0.3">
      <c r="A47" s="24" t="str">
        <f>A15</f>
        <v>Research and development</v>
      </c>
      <c r="B47" s="25">
        <f t="shared" ref="B47" si="21">(B15-C15)/C15</f>
        <v>0.19791001186456147</v>
      </c>
      <c r="C47" s="25">
        <f>(C15-D15)/D15</f>
        <v>0.16862201365187712</v>
      </c>
      <c r="D47" s="25" t="s">
        <v>49</v>
      </c>
    </row>
    <row r="48" spans="1:5" x14ac:dyDescent="0.3">
      <c r="A48" s="24" t="str">
        <f t="shared" ref="A48" si="22">A16</f>
        <v>Selling, general and administrative</v>
      </c>
      <c r="B48" s="25">
        <f t="shared" ref="B48" si="23">(B16-C16)/C16</f>
        <v>0.14203795567287125</v>
      </c>
      <c r="C48" s="25">
        <f>'Financial Statements'!B18/('Financial Statements'!B70-'Financial Statements'!B78)</f>
        <v>0.60087134570590572</v>
      </c>
      <c r="D48" s="25">
        <f>D21/('Financial Statements'!C70-'Financial Statements'!C78)</f>
        <v>4.2922832020077954E-2</v>
      </c>
      <c r="E48">
        <f>E21/('Financial Statements'!D70-'Financial Statements'!D78)</f>
        <v>0</v>
      </c>
    </row>
    <row r="49" spans="1:5" x14ac:dyDescent="0.3">
      <c r="A49" s="1"/>
      <c r="B49" s="25"/>
      <c r="C49" s="25"/>
      <c r="D49" s="25"/>
    </row>
    <row r="50" spans="1:5" x14ac:dyDescent="0.3">
      <c r="A50" s="28" t="s">
        <v>50</v>
      </c>
      <c r="B50" s="35"/>
      <c r="C50" s="35"/>
      <c r="D50" s="35"/>
    </row>
    <row r="51" spans="1:5" x14ac:dyDescent="0.3">
      <c r="A51" s="1" t="s">
        <v>15</v>
      </c>
      <c r="B51" s="23">
        <f>B21/B20</f>
        <v>0.16204461684424407</v>
      </c>
      <c r="C51" s="23">
        <f t="shared" ref="C51:D51" si="24">C21/C20</f>
        <v>0.13302260844085087</v>
      </c>
      <c r="D51" s="23">
        <f t="shared" si="24"/>
        <v>0.14428164731484103</v>
      </c>
    </row>
    <row r="52" spans="1:5" x14ac:dyDescent="0.3">
      <c r="A52" s="1"/>
      <c r="E52" s="32">
        <f>D21/('Financial Statements'!C70-'Financial Statements'!C78)</f>
        <v>4.2922832020077954E-2</v>
      </c>
    </row>
    <row r="53" spans="1:5" x14ac:dyDescent="0.3">
      <c r="A53" s="57" t="s">
        <v>51</v>
      </c>
      <c r="B53" s="57"/>
      <c r="C53" s="57"/>
      <c r="D53" s="57"/>
    </row>
    <row r="54" spans="1:5" x14ac:dyDescent="0.3">
      <c r="B54" s="56" t="s">
        <v>52</v>
      </c>
      <c r="C54" s="56"/>
      <c r="D54" s="56"/>
    </row>
    <row r="55" spans="1:5" x14ac:dyDescent="0.3">
      <c r="B55" s="7">
        <f>+B4</f>
        <v>2022</v>
      </c>
      <c r="C55" s="7">
        <f>+C4</f>
        <v>2021</v>
      </c>
      <c r="D55" s="7">
        <f>+D4</f>
        <v>2020</v>
      </c>
    </row>
    <row r="57" spans="1:5" x14ac:dyDescent="0.3">
      <c r="A57" t="s">
        <v>53</v>
      </c>
    </row>
    <row r="58" spans="1:5" x14ac:dyDescent="0.3">
      <c r="A58" s="1" t="s">
        <v>54</v>
      </c>
      <c r="B58" s="12">
        <v>23646</v>
      </c>
      <c r="C58" s="12">
        <v>34940</v>
      </c>
      <c r="D58" s="12">
        <v>38016</v>
      </c>
    </row>
    <row r="59" spans="1:5" x14ac:dyDescent="0.3">
      <c r="A59" s="1" t="s">
        <v>55</v>
      </c>
      <c r="B59" s="12">
        <v>24658</v>
      </c>
      <c r="C59" s="12">
        <v>27699</v>
      </c>
      <c r="D59" s="12">
        <v>52927</v>
      </c>
    </row>
    <row r="60" spans="1:5" x14ac:dyDescent="0.3">
      <c r="A60" s="1" t="s">
        <v>56</v>
      </c>
      <c r="B60" s="12">
        <v>28184</v>
      </c>
      <c r="C60" s="12">
        <v>26278</v>
      </c>
      <c r="D60" s="12">
        <v>16120</v>
      </c>
    </row>
    <row r="61" spans="1:5" x14ac:dyDescent="0.3">
      <c r="A61" s="1" t="s">
        <v>57</v>
      </c>
      <c r="B61" s="12">
        <v>4946</v>
      </c>
      <c r="C61" s="12">
        <v>6580</v>
      </c>
      <c r="D61" s="12">
        <v>4061</v>
      </c>
    </row>
    <row r="62" spans="1:5" x14ac:dyDescent="0.3">
      <c r="A62" s="1" t="s">
        <v>58</v>
      </c>
      <c r="B62" s="12">
        <v>32748</v>
      </c>
      <c r="C62" s="12">
        <v>25228</v>
      </c>
      <c r="D62" s="12">
        <v>21325</v>
      </c>
    </row>
    <row r="63" spans="1:5" x14ac:dyDescent="0.3">
      <c r="A63" s="1" t="s">
        <v>59</v>
      </c>
      <c r="B63" s="12">
        <v>21223</v>
      </c>
      <c r="C63" s="12">
        <v>14111</v>
      </c>
      <c r="D63" s="12">
        <v>11264</v>
      </c>
    </row>
    <row r="64" spans="1:5" x14ac:dyDescent="0.3">
      <c r="A64" s="8" t="s">
        <v>60</v>
      </c>
      <c r="B64" s="13">
        <f>+SUM(B58:B63)</f>
        <v>135405</v>
      </c>
      <c r="C64" s="13">
        <f t="shared" ref="C64:D64" si="25">+SUM(C58:C63)</f>
        <v>134836</v>
      </c>
      <c r="D64" s="13">
        <f t="shared" si="25"/>
        <v>143713</v>
      </c>
    </row>
    <row r="65" spans="1:4" x14ac:dyDescent="0.3">
      <c r="A65" t="s">
        <v>61</v>
      </c>
      <c r="B65" s="12"/>
      <c r="C65" s="12"/>
      <c r="D65" s="12"/>
    </row>
    <row r="66" spans="1:4" x14ac:dyDescent="0.3">
      <c r="A66" s="1" t="s">
        <v>55</v>
      </c>
      <c r="B66" s="12">
        <v>120805</v>
      </c>
      <c r="C66" s="12">
        <v>127877</v>
      </c>
      <c r="D66" s="12">
        <v>100887</v>
      </c>
    </row>
    <row r="67" spans="1:4" x14ac:dyDescent="0.3">
      <c r="A67" s="1" t="s">
        <v>62</v>
      </c>
      <c r="B67" s="12">
        <v>42117</v>
      </c>
      <c r="C67" s="12">
        <v>39440</v>
      </c>
      <c r="D67" s="12">
        <v>36766</v>
      </c>
    </row>
    <row r="68" spans="1:4" x14ac:dyDescent="0.3">
      <c r="A68" s="1" t="s">
        <v>63</v>
      </c>
      <c r="B68" s="12">
        <v>54428</v>
      </c>
      <c r="C68" s="12">
        <v>48849</v>
      </c>
      <c r="D68" s="12">
        <v>42522</v>
      </c>
    </row>
    <row r="69" spans="1:4" x14ac:dyDescent="0.3">
      <c r="A69" s="8" t="s">
        <v>64</v>
      </c>
      <c r="B69" s="13">
        <f>+SUM(B66:B68)</f>
        <v>217350</v>
      </c>
      <c r="C69" s="13">
        <f t="shared" ref="C69:D69" si="26">+SUM(C66:C68)</f>
        <v>216166</v>
      </c>
      <c r="D69" s="13">
        <f t="shared" si="26"/>
        <v>180175</v>
      </c>
    </row>
    <row r="70" spans="1:4" ht="15" thickBot="1" x14ac:dyDescent="0.35">
      <c r="A70" s="9" t="s">
        <v>65</v>
      </c>
      <c r="B70" s="14">
        <f>+B64+B69</f>
        <v>352755</v>
      </c>
      <c r="C70" s="14">
        <f t="shared" ref="C70:D70" si="27">+C64+C69</f>
        <v>351002</v>
      </c>
      <c r="D70" s="14">
        <f t="shared" si="27"/>
        <v>323888</v>
      </c>
    </row>
    <row r="71" spans="1:4" ht="15" thickTop="1" x14ac:dyDescent="0.3"/>
    <row r="72" spans="1:4" x14ac:dyDescent="0.3">
      <c r="A72" t="s">
        <v>66</v>
      </c>
    </row>
    <row r="73" spans="1:4" x14ac:dyDescent="0.3">
      <c r="A73" s="1" t="s">
        <v>67</v>
      </c>
      <c r="B73" s="12">
        <v>64115</v>
      </c>
      <c r="C73" s="12">
        <v>54763</v>
      </c>
      <c r="D73" s="12">
        <v>42296</v>
      </c>
    </row>
    <row r="74" spans="1:4" x14ac:dyDescent="0.3">
      <c r="A74" s="1" t="s">
        <v>68</v>
      </c>
      <c r="B74" s="12">
        <v>60845</v>
      </c>
      <c r="C74" s="12">
        <v>47493</v>
      </c>
      <c r="D74" s="12">
        <v>42684</v>
      </c>
    </row>
    <row r="75" spans="1:4" x14ac:dyDescent="0.3">
      <c r="A75" s="1" t="s">
        <v>69</v>
      </c>
      <c r="B75" s="12">
        <v>7912</v>
      </c>
      <c r="C75" s="12">
        <v>7612</v>
      </c>
      <c r="D75" s="12">
        <v>6643</v>
      </c>
    </row>
    <row r="76" spans="1:4" x14ac:dyDescent="0.3">
      <c r="A76" s="1" t="s">
        <v>70</v>
      </c>
      <c r="B76" s="12">
        <v>9982</v>
      </c>
      <c r="C76" s="12">
        <v>6000</v>
      </c>
      <c r="D76" s="12">
        <v>4996</v>
      </c>
    </row>
    <row r="77" spans="1:4" x14ac:dyDescent="0.3">
      <c r="A77" s="1" t="s">
        <v>71</v>
      </c>
      <c r="B77" s="12">
        <v>11128</v>
      </c>
      <c r="C77" s="12">
        <v>9613</v>
      </c>
      <c r="D77" s="12">
        <v>8773</v>
      </c>
    </row>
    <row r="78" spans="1:4" x14ac:dyDescent="0.3">
      <c r="A78" s="8" t="s">
        <v>72</v>
      </c>
      <c r="B78" s="13">
        <f>+SUM(B73:B77)</f>
        <v>153982</v>
      </c>
      <c r="C78" s="13">
        <f t="shared" ref="C78:D78" si="28">+SUM(C73:C77)</f>
        <v>125481</v>
      </c>
      <c r="D78" s="13">
        <f t="shared" si="28"/>
        <v>105392</v>
      </c>
    </row>
    <row r="79" spans="1:4" x14ac:dyDescent="0.3">
      <c r="A79" t="s">
        <v>73</v>
      </c>
      <c r="B79" s="12"/>
      <c r="C79" s="12"/>
      <c r="D79" s="12"/>
    </row>
    <row r="80" spans="1:4" x14ac:dyDescent="0.3">
      <c r="A80" s="1" t="s">
        <v>69</v>
      </c>
      <c r="B80" s="12"/>
      <c r="C80" s="12"/>
      <c r="D80" s="12"/>
    </row>
    <row r="81" spans="1:4" x14ac:dyDescent="0.3">
      <c r="A81" s="1" t="s">
        <v>71</v>
      </c>
      <c r="B81" s="12">
        <v>98959</v>
      </c>
      <c r="C81" s="12">
        <v>109106</v>
      </c>
      <c r="D81" s="12">
        <v>98667</v>
      </c>
    </row>
    <row r="82" spans="1:4" x14ac:dyDescent="0.3">
      <c r="A82" s="1" t="s">
        <v>74</v>
      </c>
      <c r="B82" s="12">
        <v>49142</v>
      </c>
      <c r="C82" s="12">
        <v>53325</v>
      </c>
      <c r="D82" s="12">
        <v>54490</v>
      </c>
    </row>
    <row r="83" spans="1:4" x14ac:dyDescent="0.3">
      <c r="A83" s="22" t="s">
        <v>75</v>
      </c>
      <c r="B83" s="21">
        <f>+B81+B82</f>
        <v>148101</v>
      </c>
      <c r="C83" s="21">
        <f t="shared" ref="C83:D83" si="29">+C81+C82</f>
        <v>162431</v>
      </c>
      <c r="D83" s="21">
        <f t="shared" si="29"/>
        <v>153157</v>
      </c>
    </row>
    <row r="84" spans="1:4" x14ac:dyDescent="0.3">
      <c r="A84" s="8" t="s">
        <v>76</v>
      </c>
      <c r="B84" s="13">
        <f>+B78+B83</f>
        <v>302083</v>
      </c>
      <c r="C84" s="13">
        <f t="shared" ref="C84:D84" si="30">+C78+C83</f>
        <v>287912</v>
      </c>
      <c r="D84" s="13">
        <f t="shared" si="30"/>
        <v>258549</v>
      </c>
    </row>
    <row r="85" spans="1:4" x14ac:dyDescent="0.3">
      <c r="B85" s="12"/>
      <c r="C85" s="12"/>
      <c r="D85" s="12"/>
    </row>
    <row r="86" spans="1:4" x14ac:dyDescent="0.3">
      <c r="A86" t="s">
        <v>77</v>
      </c>
      <c r="B86" s="12"/>
      <c r="C86" s="12"/>
      <c r="D86" s="12"/>
    </row>
    <row r="87" spans="1:4" x14ac:dyDescent="0.3">
      <c r="A87" s="1" t="s">
        <v>78</v>
      </c>
      <c r="B87" s="12">
        <v>64849</v>
      </c>
      <c r="C87" s="12">
        <v>57365</v>
      </c>
      <c r="D87" s="12">
        <v>50779</v>
      </c>
    </row>
    <row r="88" spans="1:4" x14ac:dyDescent="0.3">
      <c r="A88" s="1" t="s">
        <v>79</v>
      </c>
      <c r="B88" s="12">
        <v>-3068</v>
      </c>
      <c r="C88" s="12">
        <v>5562</v>
      </c>
      <c r="D88" s="12">
        <v>14966</v>
      </c>
    </row>
    <row r="89" spans="1:4" x14ac:dyDescent="0.3">
      <c r="A89" s="1" t="s">
        <v>80</v>
      </c>
      <c r="B89" s="12">
        <v>-11109</v>
      </c>
      <c r="C89" s="12">
        <v>163</v>
      </c>
      <c r="D89" s="12">
        <v>-406</v>
      </c>
    </row>
    <row r="90" spans="1:4" x14ac:dyDescent="0.3">
      <c r="A90" s="8" t="s">
        <v>81</v>
      </c>
      <c r="B90" s="13">
        <f>+SUM(B87:B89)</f>
        <v>50672</v>
      </c>
      <c r="C90" s="13">
        <f t="shared" ref="C90:D90" si="31">+SUM(C87:C89)</f>
        <v>63090</v>
      </c>
      <c r="D90" s="13">
        <f t="shared" si="31"/>
        <v>65339</v>
      </c>
    </row>
    <row r="91" spans="1:4" ht="15" thickBot="1" x14ac:dyDescent="0.35">
      <c r="A91" s="9" t="s">
        <v>82</v>
      </c>
      <c r="B91" s="14">
        <f>+B90+B84</f>
        <v>352755</v>
      </c>
      <c r="C91" s="14">
        <f t="shared" ref="C91:D91" si="32">+C90+C84</f>
        <v>351002</v>
      </c>
      <c r="D91" s="14">
        <f t="shared" si="32"/>
        <v>323888</v>
      </c>
    </row>
    <row r="92" spans="1:4" ht="15" thickTop="1" x14ac:dyDescent="0.3">
      <c r="A92" s="7"/>
      <c r="B92" s="31"/>
      <c r="C92" s="31"/>
      <c r="D92" s="31"/>
    </row>
    <row r="93" spans="1:4" x14ac:dyDescent="0.3">
      <c r="A93" s="28" t="s">
        <v>47</v>
      </c>
      <c r="B93" s="30"/>
      <c r="C93" s="30"/>
      <c r="D93" s="30"/>
    </row>
    <row r="94" spans="1:4" x14ac:dyDescent="0.3">
      <c r="A94" t="s">
        <v>83</v>
      </c>
      <c r="B94" s="38">
        <f t="shared" ref="B94:C94" si="33">(B70-C70)/C70</f>
        <v>4.9942735369029236E-3</v>
      </c>
      <c r="C94" s="38">
        <f t="shared" si="33"/>
        <v>8.3714123400681711E-2</v>
      </c>
      <c r="D94" s="40" t="s">
        <v>49</v>
      </c>
    </row>
    <row r="95" spans="1:4" x14ac:dyDescent="0.3">
      <c r="A95" s="33" t="str">
        <f>A64</f>
        <v>Total current assets</v>
      </c>
      <c r="B95" s="38">
        <f t="shared" ref="B95:C95" si="34">(B64-C64)/C64</f>
        <v>4.2199412619775131E-3</v>
      </c>
      <c r="C95" s="38">
        <f t="shared" si="34"/>
        <v>-6.176894226687913E-2</v>
      </c>
      <c r="D95" s="40" t="s">
        <v>49</v>
      </c>
    </row>
    <row r="96" spans="1:4" x14ac:dyDescent="0.3">
      <c r="A96" s="33" t="str">
        <f>A69</f>
        <v>Total non current assets</v>
      </c>
      <c r="B96" s="39">
        <f t="shared" ref="B96:C96" si="35">(B69-C69)/C69</f>
        <v>5.4772720964443994E-3</v>
      </c>
      <c r="C96" s="39">
        <f t="shared" si="35"/>
        <v>0.19975579297904814</v>
      </c>
      <c r="D96" s="40" t="s">
        <v>49</v>
      </c>
    </row>
    <row r="98" spans="1:4" x14ac:dyDescent="0.3">
      <c r="A98" t="str">
        <f>A84</f>
        <v>Total liabilities</v>
      </c>
      <c r="B98" s="23">
        <f t="shared" ref="B98:C98" si="36">(B84-C84)/C84</f>
        <v>4.9219900525160468E-2</v>
      </c>
      <c r="C98" s="23">
        <f t="shared" si="36"/>
        <v>0.11356841449783213</v>
      </c>
      <c r="D98" s="25" t="s">
        <v>49</v>
      </c>
    </row>
    <row r="99" spans="1:4" x14ac:dyDescent="0.3">
      <c r="A99" s="33" t="str">
        <f>A78</f>
        <v>Total current liabilities</v>
      </c>
      <c r="B99" s="23">
        <f t="shared" ref="B99:C99" si="37">(B78-C78)/C78</f>
        <v>0.22713398841258836</v>
      </c>
      <c r="C99" s="23">
        <f t="shared" si="37"/>
        <v>0.19061219067860938</v>
      </c>
      <c r="D99" s="25" t="s">
        <v>49</v>
      </c>
    </row>
    <row r="100" spans="1:4" x14ac:dyDescent="0.3">
      <c r="A100" s="33" t="str">
        <f>A83</f>
        <v>Total non current liabilities</v>
      </c>
      <c r="B100" s="23">
        <f t="shared" ref="B100:C100" si="38">(B83-C83)/C83</f>
        <v>-8.8222075835277747E-2</v>
      </c>
      <c r="C100" s="23">
        <f t="shared" si="38"/>
        <v>6.0552243775994566E-2</v>
      </c>
      <c r="D100" s="25" t="s">
        <v>49</v>
      </c>
    </row>
    <row r="102" spans="1:4" x14ac:dyDescent="0.3">
      <c r="A102" t="str">
        <f>A90</f>
        <v>Total shareholders’ equity</v>
      </c>
      <c r="B102" s="23">
        <f t="shared" ref="B102:C102" si="39">(B90-C90)/C90</f>
        <v>-0.19682992550324932</v>
      </c>
      <c r="C102" s="23">
        <f t="shared" si="39"/>
        <v>-3.4420483937617659E-2</v>
      </c>
      <c r="D102" s="25" t="s">
        <v>49</v>
      </c>
    </row>
    <row r="103" spans="1:4" x14ac:dyDescent="0.3">
      <c r="B103" s="23"/>
      <c r="C103" s="23"/>
      <c r="D103" s="25"/>
    </row>
    <row r="104" spans="1:4" x14ac:dyDescent="0.3">
      <c r="A104" t="str">
        <f>A91</f>
        <v>Total liabilities and shareholders’ equity</v>
      </c>
      <c r="B104" s="41">
        <f t="shared" ref="B104:C104" si="40">(B91-C91)/C91</f>
        <v>4.9942735369029236E-3</v>
      </c>
      <c r="C104" s="41">
        <f t="shared" si="40"/>
        <v>8.3714123400681711E-2</v>
      </c>
      <c r="D104" s="41" t="s">
        <v>49</v>
      </c>
    </row>
    <row r="106" spans="1:4" x14ac:dyDescent="0.3">
      <c r="A106" s="57" t="s">
        <v>84</v>
      </c>
      <c r="B106" s="57"/>
      <c r="C106" s="57"/>
      <c r="D106" s="57"/>
    </row>
    <row r="107" spans="1:4" x14ac:dyDescent="0.3">
      <c r="B107" s="56" t="s">
        <v>24</v>
      </c>
      <c r="C107" s="56"/>
      <c r="D107" s="56"/>
    </row>
    <row r="108" spans="1:4" x14ac:dyDescent="0.3">
      <c r="B108" s="7">
        <f>+B55</f>
        <v>2022</v>
      </c>
      <c r="C108" s="7">
        <f>+C55</f>
        <v>2021</v>
      </c>
      <c r="D108" s="7">
        <f>+D55</f>
        <v>2020</v>
      </c>
    </row>
    <row r="110" spans="1:4" x14ac:dyDescent="0.3">
      <c r="A110" s="7" t="s">
        <v>85</v>
      </c>
      <c r="B110" s="15"/>
      <c r="C110" s="15"/>
      <c r="D110" s="15"/>
    </row>
    <row r="111" spans="1:4" x14ac:dyDescent="0.3">
      <c r="A111" t="s">
        <v>86</v>
      </c>
      <c r="B111" s="12">
        <f>+B22</f>
        <v>99803</v>
      </c>
      <c r="C111" s="12">
        <f>+C22</f>
        <v>94680</v>
      </c>
      <c r="D111" s="12">
        <f>+D22</f>
        <v>57411</v>
      </c>
    </row>
    <row r="112" spans="1:4" x14ac:dyDescent="0.3">
      <c r="A112" s="11" t="s">
        <v>40</v>
      </c>
      <c r="B112" s="15"/>
      <c r="C112" s="15"/>
      <c r="D112" s="15"/>
    </row>
    <row r="113" spans="1:4" x14ac:dyDescent="0.3">
      <c r="A113" s="1" t="s">
        <v>87</v>
      </c>
      <c r="B113" s="12"/>
      <c r="C113" s="12"/>
      <c r="D113" s="12"/>
    </row>
    <row r="114" spans="1:4" x14ac:dyDescent="0.3">
      <c r="A114" s="3" t="s">
        <v>88</v>
      </c>
      <c r="B114" s="12">
        <v>11104</v>
      </c>
      <c r="C114" s="12">
        <v>11284</v>
      </c>
      <c r="D114" s="12">
        <v>11056</v>
      </c>
    </row>
    <row r="115" spans="1:4" x14ac:dyDescent="0.3">
      <c r="A115" s="3" t="s">
        <v>89</v>
      </c>
      <c r="B115" s="12">
        <v>9038</v>
      </c>
      <c r="C115" s="12">
        <v>7906</v>
      </c>
      <c r="D115" s="12">
        <v>6829</v>
      </c>
    </row>
    <row r="116" spans="1:4" x14ac:dyDescent="0.3">
      <c r="A116" s="3" t="s">
        <v>90</v>
      </c>
      <c r="B116" s="12">
        <v>895</v>
      </c>
      <c r="C116" s="12">
        <v>-4774</v>
      </c>
      <c r="D116" s="12">
        <v>-215</v>
      </c>
    </row>
    <row r="117" spans="1:4" x14ac:dyDescent="0.3">
      <c r="A117" s="3" t="s">
        <v>91</v>
      </c>
      <c r="B117" s="12">
        <v>111</v>
      </c>
      <c r="C117" s="12">
        <v>-147</v>
      </c>
      <c r="D117" s="12">
        <v>-97</v>
      </c>
    </row>
    <row r="118" spans="1:4" x14ac:dyDescent="0.3">
      <c r="A118" t="s">
        <v>92</v>
      </c>
      <c r="B118" s="12"/>
      <c r="C118" s="12"/>
      <c r="D118" s="12"/>
    </row>
    <row r="119" spans="1:4" x14ac:dyDescent="0.3">
      <c r="A119" s="1" t="s">
        <v>56</v>
      </c>
      <c r="B119" s="12">
        <v>-1823</v>
      </c>
      <c r="C119" s="12">
        <v>-10125</v>
      </c>
      <c r="D119" s="12">
        <v>6917</v>
      </c>
    </row>
    <row r="120" spans="1:4" x14ac:dyDescent="0.3">
      <c r="A120" s="1" t="s">
        <v>57</v>
      </c>
      <c r="B120" s="12">
        <v>1484</v>
      </c>
      <c r="C120" s="12">
        <v>-2642</v>
      </c>
      <c r="D120" s="12">
        <v>-127</v>
      </c>
    </row>
    <row r="121" spans="1:4" x14ac:dyDescent="0.3">
      <c r="A121" s="1" t="s">
        <v>58</v>
      </c>
      <c r="B121" s="12">
        <v>-7520</v>
      </c>
      <c r="C121" s="12">
        <v>-3903</v>
      </c>
      <c r="D121" s="12">
        <v>1553</v>
      </c>
    </row>
    <row r="122" spans="1:4" x14ac:dyDescent="0.3">
      <c r="A122" s="1" t="s">
        <v>93</v>
      </c>
      <c r="B122" s="12">
        <v>-6499</v>
      </c>
      <c r="C122" s="12">
        <v>-8042</v>
      </c>
      <c r="D122" s="12">
        <v>-9588</v>
      </c>
    </row>
    <row r="123" spans="1:4" x14ac:dyDescent="0.3">
      <c r="A123" s="1" t="s">
        <v>67</v>
      </c>
      <c r="B123" s="12">
        <v>9448</v>
      </c>
      <c r="C123" s="12">
        <v>12326</v>
      </c>
      <c r="D123" s="12">
        <v>-4062</v>
      </c>
    </row>
    <row r="124" spans="1:4" x14ac:dyDescent="0.3">
      <c r="A124" s="1" t="s">
        <v>69</v>
      </c>
      <c r="B124" s="12">
        <v>478</v>
      </c>
      <c r="C124" s="12">
        <v>1676</v>
      </c>
      <c r="D124" s="12">
        <v>2081</v>
      </c>
    </row>
    <row r="125" spans="1:4" x14ac:dyDescent="0.3">
      <c r="A125" s="1" t="s">
        <v>94</v>
      </c>
      <c r="B125" s="12">
        <v>5632</v>
      </c>
      <c r="C125" s="12">
        <v>5799</v>
      </c>
      <c r="D125" s="12">
        <v>8916</v>
      </c>
    </row>
    <row r="126" spans="1:4" x14ac:dyDescent="0.3">
      <c r="A126" s="8" t="s">
        <v>95</v>
      </c>
      <c r="B126" s="13">
        <f>+SUM(B111:B125)</f>
        <v>122151</v>
      </c>
      <c r="C126" s="13">
        <f t="shared" ref="C126:D126" si="41">+SUM(C111:C125)</f>
        <v>104038</v>
      </c>
      <c r="D126" s="13">
        <f t="shared" si="41"/>
        <v>80674</v>
      </c>
    </row>
    <row r="127" spans="1:4" x14ac:dyDescent="0.3">
      <c r="A127" s="7" t="s">
        <v>96</v>
      </c>
      <c r="B127" s="12"/>
      <c r="C127" s="12"/>
      <c r="D127" s="12"/>
    </row>
    <row r="128" spans="1:4" x14ac:dyDescent="0.3">
      <c r="A128" s="1" t="s">
        <v>97</v>
      </c>
      <c r="B128" s="12">
        <v>-76923</v>
      </c>
      <c r="C128" s="12">
        <v>-109558</v>
      </c>
      <c r="D128" s="12">
        <v>-114938</v>
      </c>
    </row>
    <row r="129" spans="1:4" x14ac:dyDescent="0.3">
      <c r="A129" s="1" t="s">
        <v>98</v>
      </c>
      <c r="B129" s="12">
        <v>29917</v>
      </c>
      <c r="C129" s="12">
        <v>59023</v>
      </c>
      <c r="D129" s="12">
        <v>69918</v>
      </c>
    </row>
    <row r="130" spans="1:4" x14ac:dyDescent="0.3">
      <c r="A130" s="1" t="s">
        <v>99</v>
      </c>
      <c r="B130" s="12">
        <v>37446</v>
      </c>
      <c r="C130" s="12">
        <v>47460</v>
      </c>
      <c r="D130" s="12">
        <v>50473</v>
      </c>
    </row>
    <row r="131" spans="1:4" x14ac:dyDescent="0.3">
      <c r="A131" s="27" t="s">
        <v>100</v>
      </c>
      <c r="B131" s="12">
        <v>-10708</v>
      </c>
      <c r="C131" s="12">
        <v>-11085</v>
      </c>
      <c r="D131" s="12">
        <v>-7309</v>
      </c>
    </row>
    <row r="132" spans="1:4" x14ac:dyDescent="0.3">
      <c r="A132" s="1" t="s">
        <v>101</v>
      </c>
      <c r="B132" s="12">
        <v>-306</v>
      </c>
      <c r="C132" s="12">
        <v>-33</v>
      </c>
      <c r="D132" s="12">
        <v>-1524</v>
      </c>
    </row>
    <row r="133" spans="1:4" x14ac:dyDescent="0.3">
      <c r="A133" s="1" t="s">
        <v>91</v>
      </c>
      <c r="B133" s="12">
        <v>-1780</v>
      </c>
      <c r="C133" s="12">
        <v>-352</v>
      </c>
      <c r="D133" s="12">
        <v>-909</v>
      </c>
    </row>
    <row r="134" spans="1:4" x14ac:dyDescent="0.3">
      <c r="A134" s="8" t="s">
        <v>102</v>
      </c>
      <c r="B134" s="13">
        <f>+SUM(B128:B133)</f>
        <v>-22354</v>
      </c>
      <c r="C134" s="13">
        <f t="shared" ref="C134:D134" si="42">+SUM(C128:C133)</f>
        <v>-14545</v>
      </c>
      <c r="D134" s="13">
        <f t="shared" si="42"/>
        <v>-4289</v>
      </c>
    </row>
    <row r="135" spans="1:4" x14ac:dyDescent="0.3">
      <c r="A135" s="7" t="s">
        <v>103</v>
      </c>
      <c r="B135" s="12"/>
      <c r="C135" s="12"/>
      <c r="D135" s="12"/>
    </row>
    <row r="136" spans="1:4" x14ac:dyDescent="0.3">
      <c r="A136" s="1" t="s">
        <v>104</v>
      </c>
      <c r="B136" s="12">
        <v>-6223</v>
      </c>
      <c r="C136" s="12">
        <v>-6556</v>
      </c>
      <c r="D136" s="12">
        <v>-3634</v>
      </c>
    </row>
    <row r="137" spans="1:4" x14ac:dyDescent="0.3">
      <c r="A137" s="1" t="s">
        <v>105</v>
      </c>
      <c r="B137" s="12">
        <v>-14841</v>
      </c>
      <c r="C137" s="12">
        <v>-14467</v>
      </c>
      <c r="D137" s="12">
        <v>-14081</v>
      </c>
    </row>
    <row r="138" spans="1:4" x14ac:dyDescent="0.3">
      <c r="A138" s="1" t="s">
        <v>106</v>
      </c>
      <c r="B138" s="12">
        <v>-89402</v>
      </c>
      <c r="C138" s="12">
        <v>-85971</v>
      </c>
      <c r="D138" s="12">
        <v>-72358</v>
      </c>
    </row>
    <row r="139" spans="1:4" x14ac:dyDescent="0.3">
      <c r="A139" s="1" t="s">
        <v>107</v>
      </c>
      <c r="B139" s="12">
        <v>5465</v>
      </c>
      <c r="C139" s="12">
        <v>20393</v>
      </c>
      <c r="D139" s="12">
        <v>16091</v>
      </c>
    </row>
    <row r="140" spans="1:4" x14ac:dyDescent="0.3">
      <c r="A140" s="1" t="s">
        <v>108</v>
      </c>
      <c r="B140" s="12">
        <v>-9543</v>
      </c>
      <c r="C140" s="12">
        <v>-8750</v>
      </c>
      <c r="D140" s="12">
        <v>-12629</v>
      </c>
    </row>
    <row r="141" spans="1:4" x14ac:dyDescent="0.3">
      <c r="A141" s="1" t="s">
        <v>109</v>
      </c>
      <c r="B141" s="12">
        <v>3955</v>
      </c>
      <c r="C141" s="12">
        <v>1022</v>
      </c>
      <c r="D141" s="12">
        <v>-963</v>
      </c>
    </row>
    <row r="142" spans="1:4" x14ac:dyDescent="0.3">
      <c r="A142" s="1" t="s">
        <v>91</v>
      </c>
      <c r="B142" s="12">
        <v>-160</v>
      </c>
      <c r="C142" s="12">
        <v>976</v>
      </c>
      <c r="D142" s="12">
        <v>754</v>
      </c>
    </row>
    <row r="143" spans="1:4" x14ac:dyDescent="0.3">
      <c r="A143" s="8" t="s">
        <v>110</v>
      </c>
      <c r="B143" s="13">
        <f>+SUM(B136:B142)</f>
        <v>-110749</v>
      </c>
      <c r="C143" s="13">
        <f t="shared" ref="C143:D143" si="43">+SUM(C136:C142)</f>
        <v>-93353</v>
      </c>
      <c r="D143" s="13">
        <f t="shared" si="43"/>
        <v>-86820</v>
      </c>
    </row>
    <row r="144" spans="1:4" x14ac:dyDescent="0.3">
      <c r="A144" s="8" t="s">
        <v>111</v>
      </c>
      <c r="B144" s="13">
        <f>+B126+B134+B143</f>
        <v>-10952</v>
      </c>
      <c r="C144" s="13">
        <f t="shared" ref="C144:D144" si="44">+C126+C134+C143</f>
        <v>-3860</v>
      </c>
      <c r="D144" s="13">
        <f t="shared" si="44"/>
        <v>-10435</v>
      </c>
    </row>
    <row r="145" spans="1:4" ht="15" thickBot="1" x14ac:dyDescent="0.35">
      <c r="A145" s="9" t="s">
        <v>112</v>
      </c>
      <c r="B145" s="14">
        <v>24977</v>
      </c>
      <c r="C145" s="14">
        <v>35929</v>
      </c>
      <c r="D145" s="14">
        <v>39789</v>
      </c>
    </row>
    <row r="146" spans="1:4" ht="15" thickTop="1" x14ac:dyDescent="0.3">
      <c r="B146" s="12"/>
      <c r="C146" s="12"/>
      <c r="D146" s="12"/>
    </row>
    <row r="147" spans="1:4" x14ac:dyDescent="0.3">
      <c r="A147" t="s">
        <v>113</v>
      </c>
      <c r="B147" s="12"/>
      <c r="C147" s="12"/>
      <c r="D147" s="12"/>
    </row>
    <row r="148" spans="1:4" x14ac:dyDescent="0.3">
      <c r="A148" t="s">
        <v>114</v>
      </c>
      <c r="B148" s="12">
        <v>19573</v>
      </c>
      <c r="C148" s="12">
        <v>25385</v>
      </c>
      <c r="D148" s="12">
        <v>9501</v>
      </c>
    </row>
    <row r="149" spans="1:4" x14ac:dyDescent="0.3">
      <c r="A149" t="s">
        <v>115</v>
      </c>
      <c r="B149" s="12">
        <v>2865</v>
      </c>
      <c r="C149" s="12">
        <v>2687</v>
      </c>
      <c r="D149" s="12">
        <v>3002</v>
      </c>
    </row>
    <row r="151" spans="1:4" x14ac:dyDescent="0.3">
      <c r="A151" s="42" t="str">
        <f>A30</f>
        <v>Margins</v>
      </c>
      <c r="B151" s="29"/>
      <c r="C151" s="29"/>
      <c r="D151" s="29"/>
    </row>
    <row r="152" spans="1:4" x14ac:dyDescent="0.3">
      <c r="A152" t="s">
        <v>116</v>
      </c>
      <c r="B152" s="37">
        <f>-B131/B8</f>
        <v>2.7155058732831552E-2</v>
      </c>
      <c r="C152" s="37">
        <f t="shared" ref="C152:D152" si="45">-C131/C8</f>
        <v>3.0302036264033657E-2</v>
      </c>
      <c r="D152" s="37">
        <f t="shared" si="45"/>
        <v>2.6625138881299748E-2</v>
      </c>
    </row>
    <row r="153" spans="1:4" x14ac:dyDescent="0.3">
      <c r="A153" t="s">
        <v>117</v>
      </c>
      <c r="B153" s="23">
        <f>-B131/B67</f>
        <v>0.25424412944891611</v>
      </c>
      <c r="C153" s="23">
        <f t="shared" ref="C153:D153" si="46">-C131/C67</f>
        <v>0.28105983772819471</v>
      </c>
      <c r="D153" s="23">
        <f t="shared" si="46"/>
        <v>0.19879780231735844</v>
      </c>
    </row>
    <row r="157" spans="1:4" x14ac:dyDescent="0.3">
      <c r="A157" s="47" t="s">
        <v>118</v>
      </c>
      <c r="B157" s="48">
        <f>B126+B131+B139</f>
        <v>116908</v>
      </c>
      <c r="C157" s="48">
        <f t="shared" ref="C157:D157" si="47">C126+C131+C139</f>
        <v>113346</v>
      </c>
      <c r="D157" s="48">
        <f t="shared" si="47"/>
        <v>89456</v>
      </c>
    </row>
  </sheetData>
  <mergeCells count="6">
    <mergeCell ref="B3:D3"/>
    <mergeCell ref="B54:D54"/>
    <mergeCell ref="B107:D107"/>
    <mergeCell ref="A2:D2"/>
    <mergeCell ref="A53:D53"/>
    <mergeCell ref="A106:D10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tabSelected="1" workbookViewId="0">
      <selection activeCell="B54" sqref="B54"/>
    </sheetView>
  </sheetViews>
  <sheetFormatPr defaultColWidth="8.88671875" defaultRowHeight="14.4" x14ac:dyDescent="0.3"/>
  <cols>
    <col min="1" max="1" width="4.6640625" customWidth="1"/>
    <col min="2" max="2" width="44.88671875" customWidth="1"/>
    <col min="3" max="5" width="16.33203125" bestFit="1" customWidth="1"/>
    <col min="7" max="7" width="43.5546875" customWidth="1"/>
    <col min="16" max="18" width="11.109375" bestFit="1" customWidth="1"/>
  </cols>
  <sheetData>
    <row r="1" spans="1:18" ht="60" customHeight="1" x14ac:dyDescent="0.5">
      <c r="A1" s="6"/>
      <c r="B1" s="20" t="s">
        <v>21</v>
      </c>
      <c r="C1" s="19"/>
      <c r="D1" s="19"/>
      <c r="E1" s="19"/>
      <c r="F1" s="19"/>
      <c r="G1" s="20" t="s">
        <v>179</v>
      </c>
      <c r="H1" s="19"/>
      <c r="I1" s="19"/>
      <c r="J1" s="19"/>
    </row>
    <row r="2" spans="1:18" x14ac:dyDescent="0.3">
      <c r="C2" s="56" t="s">
        <v>24</v>
      </c>
      <c r="D2" s="56"/>
      <c r="E2" s="56"/>
    </row>
    <row r="3" spans="1:18" x14ac:dyDescent="0.3">
      <c r="C3" s="7">
        <f>+'Financial Statements'!B4</f>
        <v>2022</v>
      </c>
      <c r="D3" s="7">
        <f>+'Financial Statements'!C4</f>
        <v>2021</v>
      </c>
      <c r="E3" s="7">
        <f>+'Financial Statements'!D4</f>
        <v>2020</v>
      </c>
    </row>
    <row r="4" spans="1:18" x14ac:dyDescent="0.3">
      <c r="A4" s="18">
        <v>1</v>
      </c>
      <c r="B4" s="7" t="s">
        <v>119</v>
      </c>
    </row>
    <row r="5" spans="1:18" x14ac:dyDescent="0.3">
      <c r="A5" s="18">
        <f>+A4+0.1</f>
        <v>1.1000000000000001</v>
      </c>
      <c r="B5" s="1" t="s">
        <v>120</v>
      </c>
      <c r="C5" s="45">
        <f>'Financial Statements'!B64/'Financial Statements'!B78</f>
        <v>0.87935602862672257</v>
      </c>
      <c r="D5" s="45">
        <f>'Financial Statements'!C64/'Financial Statements'!C78</f>
        <v>1.0745531195957954</v>
      </c>
      <c r="E5" s="45">
        <f>'Financial Statements'!D64/'Financial Statements'!D78</f>
        <v>1.3636044481554577</v>
      </c>
    </row>
    <row r="6" spans="1:18" x14ac:dyDescent="0.3">
      <c r="A6" s="18">
        <f t="shared" ref="A6:A13" si="0">+A5+0.1</f>
        <v>1.2000000000000002</v>
      </c>
      <c r="B6" s="1" t="s">
        <v>121</v>
      </c>
      <c r="C6" s="45">
        <f>('Financial Statements'!B58+'Financial Statements'!B60+'Financial Statements'!B66)/'Financial Statements'!B78</f>
        <v>1.121137535556104</v>
      </c>
      <c r="D6" s="45">
        <f>('Financial Statements'!C58+'Financial Statements'!C60+'Financial Statements'!C66)/'Financial Statements'!C78</f>
        <v>1.5069612132514085</v>
      </c>
      <c r="E6" s="45">
        <f>('Financial Statements'!D58+'Financial Statements'!D60+'Financial Statements'!D66)/'Financial Statements'!D78</f>
        <v>1.4709180962501898</v>
      </c>
      <c r="G6" t="s">
        <v>167</v>
      </c>
    </row>
    <row r="7" spans="1:18" x14ac:dyDescent="0.3">
      <c r="A7" s="18">
        <f t="shared" si="0"/>
        <v>1.3000000000000003</v>
      </c>
      <c r="B7" s="1" t="s">
        <v>122</v>
      </c>
      <c r="C7" s="45">
        <f>('Financial Statements'!B58+'Financial Statements'!B66)/'Financial Statements'!B78</f>
        <v>0.9381031549142107</v>
      </c>
      <c r="D7" s="45">
        <f>('Financial Statements'!C58+'Financial Statements'!C66)/'Financial Statements'!C78</f>
        <v>1.2975430543269499</v>
      </c>
      <c r="E7" s="45">
        <f>('Financial Statements'!D58+'Financial Statements'!D66)/'Financial Statements'!D78</f>
        <v>1.3179653104599969</v>
      </c>
      <c r="G7" t="s">
        <v>180</v>
      </c>
    </row>
    <row r="8" spans="1:18" x14ac:dyDescent="0.3">
      <c r="A8" s="18">
        <f t="shared" si="0"/>
        <v>1.4000000000000004</v>
      </c>
      <c r="B8" s="1" t="s">
        <v>123</v>
      </c>
      <c r="C8" s="49">
        <f>('Financial Statements'!B58+'Financial Statements'!B59+'Financial Statements'!B60+'Financial Statements'!B62+'Financial Statements'!B63)/'Financial Statements'!B12+'Financial Statements'!B17/365</f>
        <v>141.25482193668211</v>
      </c>
      <c r="D8" s="49">
        <f>('Financial Statements'!C58+'Financial Statements'!C59+'Financial Statements'!C60+'Financial Statements'!C62+'Financial Statements'!C63)/'Financial Statements'!C12+'Financial Statements'!C17/365</f>
        <v>120.84055072633979</v>
      </c>
      <c r="E8" s="49">
        <f>('Financial Statements'!D58+'Financial Statements'!D59+'Financial Statements'!D60+'Financial Statements'!D62+'Financial Statements'!D63)/'Financial Statements'!D12+'Financial Statements'!D17/365</f>
        <v>106.76334494470628</v>
      </c>
      <c r="G8" t="s">
        <v>168</v>
      </c>
      <c r="N8" s="56" t="s">
        <v>124</v>
      </c>
      <c r="O8" s="56"/>
      <c r="P8" s="15">
        <f>P9-P10</f>
        <v>14600</v>
      </c>
      <c r="Q8" s="15">
        <f>Q9-Q10</f>
        <v>6959</v>
      </c>
      <c r="R8" s="15">
        <f>R9-R10</f>
        <v>42826</v>
      </c>
    </row>
    <row r="9" spans="1:18" x14ac:dyDescent="0.3">
      <c r="A9" s="18">
        <f t="shared" si="0"/>
        <v>1.5000000000000004</v>
      </c>
      <c r="B9" s="1" t="s">
        <v>125</v>
      </c>
      <c r="C9" s="45">
        <f>'Financial Statements'!B61/'Financial Statements'!B12</f>
        <v>2.212520018251277E-2</v>
      </c>
      <c r="D9" s="45">
        <f>'Financial Statements'!C61/'Financial Statements'!C12</f>
        <v>3.0894774651259973E-2</v>
      </c>
      <c r="E9" s="45">
        <f>'Financial Statements'!D61/'Financial Statements'!D12</f>
        <v>2.3950365359550363E-2</v>
      </c>
      <c r="G9" t="s">
        <v>169</v>
      </c>
      <c r="N9" s="58" t="s">
        <v>181</v>
      </c>
      <c r="O9" s="58"/>
      <c r="P9" s="12">
        <f>'Financial Statements'!B64</f>
        <v>135405</v>
      </c>
      <c r="Q9" s="12">
        <f>'Financial Statements'!C64</f>
        <v>134836</v>
      </c>
      <c r="R9" s="12">
        <f>'Financial Statements'!D64</f>
        <v>143713</v>
      </c>
    </row>
    <row r="10" spans="1:18" x14ac:dyDescent="0.3">
      <c r="A10" s="18">
        <f t="shared" si="0"/>
        <v>1.6000000000000005</v>
      </c>
      <c r="B10" s="1" t="s">
        <v>126</v>
      </c>
      <c r="C10" s="45">
        <f>'Financial Statements'!B73/('Financial Statements'!B12/365)</f>
        <v>104.68527730310541</v>
      </c>
      <c r="D10" s="45">
        <f>'Financial Statements'!C73/('Financial Statements'!C12/365)</f>
        <v>93.85107122231561</v>
      </c>
      <c r="E10" s="45">
        <f>'Financial Statements'!D73/('Financial Statements'!D12/365)</f>
        <v>91.048189715674184</v>
      </c>
      <c r="N10" s="58" t="s">
        <v>127</v>
      </c>
      <c r="O10" s="58"/>
      <c r="P10" s="12">
        <f>'Financial Statements'!B66</f>
        <v>120805</v>
      </c>
      <c r="Q10" s="12">
        <f>'Financial Statements'!C66</f>
        <v>127877</v>
      </c>
      <c r="R10" s="12">
        <f>'Financial Statements'!D66</f>
        <v>100887</v>
      </c>
    </row>
    <row r="11" spans="1:18" x14ac:dyDescent="0.3">
      <c r="A11" s="18">
        <f t="shared" si="0"/>
        <v>1.7000000000000006</v>
      </c>
      <c r="B11" s="1" t="s">
        <v>128</v>
      </c>
      <c r="C11" s="45">
        <f>'Financial Statements'!B60/('Financial Statements'!B8/365)</f>
        <v>26.087825363656655</v>
      </c>
      <c r="D11" s="45">
        <f>'Financial Statements'!C60/('Financial Statements'!C8/365)</f>
        <v>26.219311841713203</v>
      </c>
      <c r="E11" s="45">
        <f>'Financial Statements'!D60/('Financial Statements'!D8/365)</f>
        <v>21.433437152796753</v>
      </c>
    </row>
    <row r="12" spans="1:18" x14ac:dyDescent="0.3">
      <c r="A12" s="18">
        <f t="shared" si="0"/>
        <v>1.8000000000000007</v>
      </c>
      <c r="B12" s="1" t="s">
        <v>129</v>
      </c>
      <c r="C12" s="50">
        <f>('Financial Statements'!B61/'Financial Statements'!B12+'Financial Statements'!B60/'Financial Statements'!B8+'Financial Statements'!B73/'Financial Statements'!B12)*365</f>
        <v>138.84880073337922</v>
      </c>
      <c r="D12" s="50">
        <f>('Financial Statements'!C61/'Financial Statements'!C12+'Financial Statements'!C60/'Financial Statements'!C8+'Financial Statements'!C73/'Financial Statements'!C12)*365</f>
        <v>131.3469758117387</v>
      </c>
      <c r="E12" s="50">
        <f>('Financial Statements'!D61/'Financial Statements'!D12+'Financial Statements'!D60/'Financial Statements'!D8+'Financial Statements'!D73/'Financial Statements'!D12)*365</f>
        <v>121.22351022470681</v>
      </c>
      <c r="G12" t="s">
        <v>170</v>
      </c>
      <c r="N12" s="56" t="s">
        <v>130</v>
      </c>
      <c r="O12" s="56"/>
      <c r="P12" s="15">
        <f>'Financial Statements'!B8</f>
        <v>394328</v>
      </c>
      <c r="Q12" s="15">
        <f>'Financial Statements'!C8</f>
        <v>365817</v>
      </c>
      <c r="R12" s="15">
        <f>'Financial Statements'!D8</f>
        <v>274515</v>
      </c>
    </row>
    <row r="13" spans="1:18" x14ac:dyDescent="0.3">
      <c r="A13" s="18">
        <f t="shared" si="0"/>
        <v>1.9000000000000008</v>
      </c>
      <c r="B13" s="1" t="s">
        <v>131</v>
      </c>
      <c r="C13" s="23">
        <f>C14/P12</f>
        <v>3.7025014708567484E-2</v>
      </c>
      <c r="D13" s="23">
        <f t="shared" ref="D13:E13" si="1">D14/Q12</f>
        <v>1.9023172788580081E-2</v>
      </c>
      <c r="E13" s="23">
        <f t="shared" si="1"/>
        <v>0.15600604702839554</v>
      </c>
    </row>
    <row r="14" spans="1:18" x14ac:dyDescent="0.3">
      <c r="A14" s="18"/>
      <c r="B14" s="3" t="s">
        <v>132</v>
      </c>
      <c r="C14" s="32">
        <f>P8</f>
        <v>14600</v>
      </c>
      <c r="D14" s="32">
        <f t="shared" ref="D14:E14" si="2">Q8</f>
        <v>6959</v>
      </c>
      <c r="E14" s="32">
        <f t="shared" si="2"/>
        <v>42826</v>
      </c>
      <c r="G14" t="s">
        <v>171</v>
      </c>
    </row>
    <row r="15" spans="1:18" x14ac:dyDescent="0.3">
      <c r="A15" s="18"/>
    </row>
    <row r="16" spans="1:18" x14ac:dyDescent="0.3">
      <c r="A16" s="18">
        <f>+A4+1</f>
        <v>2</v>
      </c>
      <c r="B16" s="17" t="s">
        <v>133</v>
      </c>
    </row>
    <row r="17" spans="1:18" x14ac:dyDescent="0.3">
      <c r="A17" s="18">
        <f>+A16+0.1</f>
        <v>2.1</v>
      </c>
      <c r="B17" s="1" t="s">
        <v>134</v>
      </c>
      <c r="C17" s="45">
        <f>'Financial Statements'!B13/'Financial Statements'!B8</f>
        <v>0.43309630561360085</v>
      </c>
      <c r="D17" s="45">
        <f>'Financial Statements'!C13/'Financial Statements'!C8</f>
        <v>0.41779359625167778</v>
      </c>
      <c r="E17" s="45">
        <f>'Financial Statements'!D13/'Financial Statements'!D8</f>
        <v>0.38233247727810865</v>
      </c>
      <c r="N17" t="s">
        <v>135</v>
      </c>
      <c r="P17">
        <f>'Financial Statements'!B8</f>
        <v>394328</v>
      </c>
      <c r="Q17">
        <f>'Financial Statements'!C8</f>
        <v>365817</v>
      </c>
      <c r="R17">
        <f>'Financial Statements'!D8</f>
        <v>274515</v>
      </c>
    </row>
    <row r="18" spans="1:18" x14ac:dyDescent="0.3">
      <c r="A18" s="18">
        <f>+A17+0.1</f>
        <v>2.2000000000000002</v>
      </c>
      <c r="B18" s="1" t="s">
        <v>136</v>
      </c>
      <c r="C18" s="45">
        <f>C19/P17</f>
        <v>0.3310467428130896</v>
      </c>
      <c r="D18" s="45">
        <f t="shared" ref="D18:E18" si="3">D19/Q17</f>
        <v>0.32866979938056462</v>
      </c>
      <c r="E18" s="45">
        <f t="shared" si="3"/>
        <v>0.2817478097736007</v>
      </c>
    </row>
    <row r="19" spans="1:18" x14ac:dyDescent="0.3">
      <c r="A19" s="18"/>
      <c r="B19" s="3" t="s">
        <v>137</v>
      </c>
      <c r="C19" s="12">
        <f>C21+'Financial Statements'!B114</f>
        <v>130541</v>
      </c>
      <c r="D19" s="12">
        <f>D21+'Financial Statements'!C114</f>
        <v>120233</v>
      </c>
      <c r="E19" s="12">
        <f>E21+'Financial Statements'!D114</f>
        <v>77344</v>
      </c>
    </row>
    <row r="20" spans="1:18" x14ac:dyDescent="0.3">
      <c r="A20" s="18">
        <f>+A18+0.1</f>
        <v>2.3000000000000003</v>
      </c>
      <c r="B20" s="1" t="s">
        <v>138</v>
      </c>
      <c r="C20" s="45">
        <f>C21/P17</f>
        <v>0.30288744395528594</v>
      </c>
      <c r="D20" s="45">
        <f t="shared" ref="D20:E20" si="4">D21/Q17</f>
        <v>0.29782377527561593</v>
      </c>
      <c r="E20" s="45">
        <f t="shared" si="4"/>
        <v>0.24147314354406862</v>
      </c>
    </row>
    <row r="21" spans="1:18" x14ac:dyDescent="0.3">
      <c r="A21" s="18"/>
      <c r="B21" s="3" t="s">
        <v>139</v>
      </c>
      <c r="C21" s="12">
        <f>'Financial Statements'!B18</f>
        <v>119437</v>
      </c>
      <c r="D21" s="12">
        <f>'Financial Statements'!C18</f>
        <v>108949</v>
      </c>
      <c r="E21" s="12">
        <f>'Financial Statements'!D18</f>
        <v>66288</v>
      </c>
    </row>
    <row r="22" spans="1:18" x14ac:dyDescent="0.3">
      <c r="A22" s="18">
        <f>+A20+0.1</f>
        <v>2.4000000000000004</v>
      </c>
      <c r="B22" s="1" t="s">
        <v>140</v>
      </c>
      <c r="C22" s="45">
        <f>'Financial Statements'!B13/'Financial Statements'!B8</f>
        <v>0.43309630561360085</v>
      </c>
      <c r="D22" s="45">
        <f>'Financial Statements'!C13/'Financial Statements'!C8</f>
        <v>0.41779359625167778</v>
      </c>
      <c r="E22" s="45">
        <f>'Financial Statements'!D13/'Financial Statements'!D8</f>
        <v>0.38233247727810865</v>
      </c>
      <c r="G22" t="s">
        <v>172</v>
      </c>
    </row>
    <row r="23" spans="1:18" x14ac:dyDescent="0.3">
      <c r="A23" s="18"/>
    </row>
    <row r="24" spans="1:18" x14ac:dyDescent="0.3">
      <c r="A24" s="18">
        <f>+A16+1</f>
        <v>3</v>
      </c>
      <c r="B24" s="7" t="s">
        <v>141</v>
      </c>
    </row>
    <row r="25" spans="1:18" x14ac:dyDescent="0.3">
      <c r="A25" s="18">
        <f>+A24+0.1</f>
        <v>3.1</v>
      </c>
      <c r="B25" s="1" t="s">
        <v>142</v>
      </c>
      <c r="C25" s="45">
        <f>('Financial Statements'!B77+'Financial Statements'!B81)/'Financial Statements'!B90</f>
        <v>2.1725410483107042</v>
      </c>
      <c r="D25" s="45">
        <f>('Financial Statements'!C77+'Financial Statements'!C81)/'Financial Statements'!C90</f>
        <v>1.8817403708987162</v>
      </c>
      <c r="E25" s="45">
        <f>('Financial Statements'!D77+'Financial Statements'!D81)/'Financial Statements'!D90</f>
        <v>1.6443471739696047</v>
      </c>
      <c r="G25" t="s">
        <v>173</v>
      </c>
    </row>
    <row r="26" spans="1:18" x14ac:dyDescent="0.3">
      <c r="A26" s="18">
        <f t="shared" ref="A26:A30" si="5">+A25+0.1</f>
        <v>3.2</v>
      </c>
      <c r="B26" s="1" t="s">
        <v>143</v>
      </c>
      <c r="C26" s="45">
        <f>('Financial Statements'!B81+'Financial Statements'!B77)/'Financial Statements'!B70</f>
        <v>0.31207778769967826</v>
      </c>
      <c r="D26" s="45">
        <f>('Financial Statements'!C81+'Financial Statements'!C77)/'Financial Statements'!C70</f>
        <v>0.33822884200090025</v>
      </c>
      <c r="E26" s="45">
        <f>('Financial Statements'!D81+'Financial Statements'!D77)/'Financial Statements'!D70</f>
        <v>0.33171960677765155</v>
      </c>
      <c r="G26" t="s">
        <v>173</v>
      </c>
    </row>
    <row r="27" spans="1:18" x14ac:dyDescent="0.3">
      <c r="A27" s="18">
        <f t="shared" si="5"/>
        <v>3.3000000000000003</v>
      </c>
      <c r="B27" s="1" t="s">
        <v>144</v>
      </c>
      <c r="C27" s="45">
        <f>'Financial Statements'!B81/('Financial Statements'!B81+'Financial Statements'!B90)</f>
        <v>0.66135359651409131</v>
      </c>
      <c r="D27" s="45">
        <f>'Financial Statements'!C81/('Financial Statements'!C81+'Financial Statements'!C90)</f>
        <v>0.63361518269878514</v>
      </c>
      <c r="E27" s="45">
        <f>'Financial Statements'!D81/('Financial Statements'!D81+'Financial Statements'!D90)</f>
        <v>0.60160603880345842</v>
      </c>
    </row>
    <row r="28" spans="1:18" x14ac:dyDescent="0.3">
      <c r="A28" s="18">
        <f t="shared" si="5"/>
        <v>3.4000000000000004</v>
      </c>
      <c r="B28" s="1" t="s">
        <v>145</v>
      </c>
      <c r="C28" s="50">
        <f>'Financial Statements'!B18/'Financial Statements'!B149</f>
        <v>41.68830715532286</v>
      </c>
      <c r="D28" s="50">
        <f>'Financial Statements'!C18/'Financial Statements'!C149</f>
        <v>40.546706363974693</v>
      </c>
      <c r="E28" s="50">
        <f>'Financial Statements'!D18/'Financial Statements'!D149</f>
        <v>22.081279147235175</v>
      </c>
      <c r="N28">
        <v>8</v>
      </c>
      <c r="O28">
        <v>30</v>
      </c>
      <c r="P28">
        <v>105</v>
      </c>
    </row>
    <row r="29" spans="1:18" x14ac:dyDescent="0.3">
      <c r="A29" s="18">
        <f t="shared" si="5"/>
        <v>3.5000000000000004</v>
      </c>
      <c r="B29" s="1" t="s">
        <v>146</v>
      </c>
      <c r="C29" s="54">
        <f>C19/('Financial Statements'!B81+'Financial Statements'!B149)</f>
        <v>1.2820258485229414</v>
      </c>
      <c r="D29" s="54">
        <f>D19/('Financial Statements'!C81+'Financial Statements'!C149)</f>
        <v>1.075496676893902</v>
      </c>
      <c r="E29" s="54">
        <f>E19/('Financial Statements'!D81+'Financial Statements'!D149)</f>
        <v>0.76074319605779539</v>
      </c>
      <c r="G29" t="s">
        <v>174</v>
      </c>
      <c r="I29">
        <v>1.28</v>
      </c>
      <c r="J29">
        <v>1.075</v>
      </c>
      <c r="K29">
        <v>0.76</v>
      </c>
      <c r="N29">
        <v>11</v>
      </c>
      <c r="O29">
        <v>26</v>
      </c>
      <c r="P29">
        <v>94</v>
      </c>
    </row>
    <row r="30" spans="1:18" x14ac:dyDescent="0.3">
      <c r="A30" s="18">
        <f t="shared" si="5"/>
        <v>3.6000000000000005</v>
      </c>
      <c r="B30" s="1" t="s">
        <v>147</v>
      </c>
      <c r="C30" s="44">
        <f>C31/'Financial Statements'!B27</f>
        <v>7.2094392420604314E-3</v>
      </c>
      <c r="D30" s="44">
        <f>D31/'Financial Statements'!C27</f>
        <v>6.7866687040364351E-3</v>
      </c>
      <c r="E30" s="44">
        <f>E31/'Financial Statements'!D27</f>
        <v>5.155335783485579E-3</v>
      </c>
      <c r="G30" t="s">
        <v>175</v>
      </c>
      <c r="N30">
        <v>9</v>
      </c>
      <c r="O30">
        <v>21</v>
      </c>
      <c r="P30">
        <v>91</v>
      </c>
    </row>
    <row r="31" spans="1:18" x14ac:dyDescent="0.3">
      <c r="A31" s="18"/>
      <c r="B31" s="3" t="s">
        <v>118</v>
      </c>
      <c r="C31">
        <f>'Financial Statements'!B157</f>
        <v>116908</v>
      </c>
      <c r="D31">
        <f>'Financial Statements'!C157</f>
        <v>113346</v>
      </c>
      <c r="E31">
        <f>'Financial Statements'!D157</f>
        <v>89456</v>
      </c>
    </row>
    <row r="32" spans="1:18" x14ac:dyDescent="0.3">
      <c r="A32" s="18"/>
    </row>
    <row r="33" spans="1:16" x14ac:dyDescent="0.3">
      <c r="A33" s="18">
        <f>+A24+1</f>
        <v>4</v>
      </c>
      <c r="B33" s="17" t="s">
        <v>148</v>
      </c>
    </row>
    <row r="34" spans="1:16" x14ac:dyDescent="0.3">
      <c r="A34" s="18">
        <f>+A33+0.1</f>
        <v>4.0999999999999996</v>
      </c>
      <c r="B34" s="1" t="s">
        <v>149</v>
      </c>
      <c r="C34" s="45">
        <f>'Financial Statements'!B8/'Financial Statements'!B70</f>
        <v>1.1178523337727317</v>
      </c>
      <c r="D34" s="45">
        <f>'Financial Statements'!C8/'Financial Statements'!C70</f>
        <v>1.0422077367080529</v>
      </c>
      <c r="E34" s="45">
        <f>'Financial Statements'!D8/'Financial Statements'!D70</f>
        <v>0.84756150274168851</v>
      </c>
    </row>
    <row r="35" spans="1:16" x14ac:dyDescent="0.3">
      <c r="A35" s="18">
        <f t="shared" ref="A35:A37" si="6">+A34+0.1</f>
        <v>4.1999999999999993</v>
      </c>
      <c r="B35" s="1" t="s">
        <v>150</v>
      </c>
      <c r="C35" s="45">
        <f>'Financial Statements'!B8/'Financial Statements'!B67</f>
        <v>9.3626801529073767</v>
      </c>
      <c r="D35" s="45">
        <f>'Financial Statements'!C8/'Financial Statements'!C67</f>
        <v>9.2752789046653152</v>
      </c>
      <c r="E35" s="45">
        <f>'Financial Statements'!D8/'Financial Statements'!D67</f>
        <v>7.4665451776097482</v>
      </c>
    </row>
    <row r="36" spans="1:16" x14ac:dyDescent="0.3">
      <c r="A36" s="18">
        <f t="shared" si="6"/>
        <v>4.2999999999999989</v>
      </c>
      <c r="B36" s="1" t="s">
        <v>151</v>
      </c>
      <c r="C36" s="45">
        <f>'Financial Statements'!B12/'Financial Statements'!B61</f>
        <v>45.197331176708452</v>
      </c>
      <c r="D36" s="45">
        <f>'Financial Statements'!C12/'Financial Statements'!C61</f>
        <v>32.367933130699086</v>
      </c>
      <c r="E36" s="45">
        <f>'Financial Statements'!D12/'Financial Statements'!D61</f>
        <v>41.753016498399411</v>
      </c>
    </row>
    <row r="37" spans="1:16" x14ac:dyDescent="0.3">
      <c r="A37" s="18">
        <f t="shared" si="6"/>
        <v>4.3999999999999986</v>
      </c>
      <c r="B37" s="1" t="s">
        <v>152</v>
      </c>
      <c r="C37" s="45">
        <f>'Financial Statements'!B22/'Financial Statements'!B70</f>
        <v>0.28292440929256851</v>
      </c>
      <c r="D37" s="45">
        <f>'Financial Statements'!C22/'Financial Statements'!C70</f>
        <v>0.26974205275183616</v>
      </c>
      <c r="E37" s="45">
        <f>'Financial Statements'!D22/'Financial Statements'!D70</f>
        <v>0.1772557180259843</v>
      </c>
    </row>
    <row r="38" spans="1:16" x14ac:dyDescent="0.3">
      <c r="A38" s="18"/>
    </row>
    <row r="39" spans="1:16" x14ac:dyDescent="0.3">
      <c r="A39" s="18">
        <f>+A33+1</f>
        <v>5</v>
      </c>
      <c r="B39" s="17" t="s">
        <v>153</v>
      </c>
    </row>
    <row r="40" spans="1:16" x14ac:dyDescent="0.3">
      <c r="A40" s="18">
        <f>+A39+0.1</f>
        <v>5.0999999999999996</v>
      </c>
      <c r="B40" s="1" t="s">
        <v>154</v>
      </c>
      <c r="C40" s="45">
        <f>$C$54/'Financial Statements'!B24</f>
        <v>28.499186991869919</v>
      </c>
      <c r="D40" s="45">
        <f>$C$54/'Financial Statements'!C24</f>
        <v>30.911816578483247</v>
      </c>
      <c r="E40" s="45">
        <f>$C$54/'Financial Statements'!D24</f>
        <v>52.951661631419945</v>
      </c>
    </row>
    <row r="41" spans="1:16" x14ac:dyDescent="0.3">
      <c r="A41" s="18">
        <f t="shared" ref="A41:A44" si="7">+A40+0.1</f>
        <v>5.1999999999999993</v>
      </c>
      <c r="B41" s="3" t="s">
        <v>155</v>
      </c>
      <c r="C41">
        <f>'Financial Statements'!B24</f>
        <v>6.15</v>
      </c>
      <c r="D41">
        <f>'Financial Statements'!C24</f>
        <v>5.67</v>
      </c>
      <c r="E41">
        <f>'Financial Statements'!D24</f>
        <v>3.31</v>
      </c>
    </row>
    <row r="42" spans="1:16" x14ac:dyDescent="0.3">
      <c r="A42" s="18">
        <f t="shared" si="7"/>
        <v>5.2999999999999989</v>
      </c>
      <c r="B42" s="1" t="s">
        <v>156</v>
      </c>
      <c r="C42" s="43">
        <f>$C$54/'Financial Statements'!B70</f>
        <v>4.9686042720868597E-4</v>
      </c>
      <c r="D42" s="43">
        <f>$C$54/'Financial Statements'!C70</f>
        <v>4.9934188409182854E-4</v>
      </c>
      <c r="E42" s="43">
        <f>$C$54/'Financial Statements'!D70</f>
        <v>5.4114385219582086E-4</v>
      </c>
    </row>
    <row r="43" spans="1:16" x14ac:dyDescent="0.3">
      <c r="A43" s="18">
        <f t="shared" si="7"/>
        <v>5.3999999999999986</v>
      </c>
      <c r="B43" s="3" t="s">
        <v>157</v>
      </c>
      <c r="C43" s="44">
        <f>'Financial Statements'!B70/'Financial Statements'!B27</f>
        <v>2.1753564681912509E-2</v>
      </c>
      <c r="D43" s="44">
        <f>'Financial Statements'!C70/'Financial Statements'!C27</f>
        <v>2.1016483055901369E-2</v>
      </c>
      <c r="E43" s="44">
        <f>'Financial Statements'!D70/'Financial Statements'!D27</f>
        <v>1.866561657397578E-2</v>
      </c>
      <c r="G43" t="s">
        <v>175</v>
      </c>
      <c r="O43">
        <v>222125</v>
      </c>
      <c r="P43">
        <v>128256</v>
      </c>
    </row>
    <row r="44" spans="1:16" x14ac:dyDescent="0.3">
      <c r="A44" s="18">
        <f t="shared" si="7"/>
        <v>5.4999999999999982</v>
      </c>
      <c r="B44" s="1" t="s">
        <v>158</v>
      </c>
      <c r="C44" s="52">
        <f>C45/'Financial Statements'!B25</f>
        <v>0.14878083013397297</v>
      </c>
      <c r="D44" s="52">
        <f>'List of Ratios'!D45/'Financial Statements'!C25</f>
        <v>0.15290840583271573</v>
      </c>
      <c r="E44" s="51">
        <f>E45/'Financial Statements'!D25</f>
        <v>0.24491872388584765</v>
      </c>
    </row>
    <row r="45" spans="1:16" x14ac:dyDescent="0.3">
      <c r="A45" s="18"/>
      <c r="B45" s="3" t="s">
        <v>159</v>
      </c>
      <c r="C45" s="50">
        <f>'Financial Statements'!B137/ ('Financial Statements'!B28/-1000)</f>
        <v>0.90905087211857494</v>
      </c>
      <c r="D45" s="50">
        <f>'Financial Statements'!C137/('Financial Statements'!C28/-1000)</f>
        <v>0.85781615672153533</v>
      </c>
      <c r="E45" s="50">
        <f>'Financial Statements'!D137/('Financial Statements'!D28/-1000)</f>
        <v>0.80333341434558025</v>
      </c>
      <c r="P45">
        <v>139652</v>
      </c>
    </row>
    <row r="46" spans="1:16" x14ac:dyDescent="0.3">
      <c r="A46" s="18">
        <f>+A44+0.1</f>
        <v>5.5999999999999979</v>
      </c>
      <c r="B46" s="1" t="s">
        <v>160</v>
      </c>
      <c r="C46" s="52">
        <f>C45/C54</f>
        <v>5.186574268948336E-3</v>
      </c>
      <c r="D46" s="51"/>
      <c r="E46" s="52">
        <f>E45/C54</f>
        <v>4.583405114084442E-3</v>
      </c>
      <c r="I46" s="53">
        <v>5.1999999999999998E-3</v>
      </c>
      <c r="J46" s="53">
        <v>4.7999999999999996E-3</v>
      </c>
      <c r="K46" s="53">
        <v>4.4999999999999997E-3</v>
      </c>
    </row>
    <row r="47" spans="1:16" x14ac:dyDescent="0.3">
      <c r="A47" s="18">
        <f t="shared" ref="A47:A50" si="8">+A45+0.1</f>
        <v>0.1</v>
      </c>
      <c r="B47" s="1" t="s">
        <v>161</v>
      </c>
      <c r="C47" s="45">
        <f>'Financial Statements'!B22/'Financial Statements'!B90</f>
        <v>1.9695887275023682</v>
      </c>
      <c r="D47" s="45">
        <f>'Financial Statements'!C22/'Financial Statements'!C90</f>
        <v>1.5007132667617689</v>
      </c>
      <c r="E47" s="45">
        <f>'Financial Statements'!D22/'Financial Statements'!D90</f>
        <v>0.87866358530127486</v>
      </c>
    </row>
    <row r="48" spans="1:16" x14ac:dyDescent="0.3">
      <c r="A48" s="18">
        <f t="shared" si="8"/>
        <v>5.6999999999999975</v>
      </c>
      <c r="B48" s="1" t="s">
        <v>162</v>
      </c>
      <c r="C48" s="54">
        <f>C21/'Financial Statements'!B70</f>
        <v>0.33858343609587388</v>
      </c>
      <c r="D48" s="45">
        <f>D19/'Financial Statements'!C91</f>
        <v>0.34254220773670807</v>
      </c>
      <c r="E48" s="59">
        <f>'Financial Statements'!D18/'Financial Statements'!D91</f>
        <v>0.20466334041397027</v>
      </c>
      <c r="G48" t="s">
        <v>177</v>
      </c>
      <c r="I48" s="55">
        <v>0.34</v>
      </c>
      <c r="J48" s="55">
        <v>0.31</v>
      </c>
      <c r="K48" s="55">
        <v>0.2</v>
      </c>
    </row>
    <row r="49" spans="1:7" x14ac:dyDescent="0.3">
      <c r="A49" s="18">
        <f t="shared" si="8"/>
        <v>0.2</v>
      </c>
      <c r="B49" s="1" t="s">
        <v>152</v>
      </c>
      <c r="C49" s="45">
        <f>C37</f>
        <v>0.28292440929256851</v>
      </c>
      <c r="D49" s="45">
        <f>D37</f>
        <v>0.26974205275183616</v>
      </c>
      <c r="E49" s="45">
        <f t="shared" ref="E49" si="9">E37</f>
        <v>0.1772557180259843</v>
      </c>
      <c r="G49" t="s">
        <v>176</v>
      </c>
    </row>
    <row r="50" spans="1:7" x14ac:dyDescent="0.3">
      <c r="A50" s="18">
        <f t="shared" si="8"/>
        <v>5.7999999999999972</v>
      </c>
      <c r="B50" s="1" t="s">
        <v>163</v>
      </c>
      <c r="C50" s="46">
        <f>C51/C19</f>
        <v>21772.916371178406</v>
      </c>
      <c r="D50" s="46">
        <f t="shared" ref="D50:E50" si="10">D51/D19</f>
        <v>24347.023882295212</v>
      </c>
      <c r="E50" s="46">
        <f t="shared" si="10"/>
        <v>39322.705331118123</v>
      </c>
    </row>
    <row r="51" spans="1:7" s="60" customFormat="1" ht="100.8" x14ac:dyDescent="0.3">
      <c r="A51" s="61"/>
      <c r="B51" s="62" t="s">
        <v>164</v>
      </c>
      <c r="C51" s="63">
        <f>$C$54*'Financial Statements'!B27+('Financial Statements'!B81+'Financial Statements'!B77)-'Financial Statements'!B58</f>
        <v>2842258276.0100002</v>
      </c>
      <c r="D51" s="63">
        <f>$C$54*'Financial Statements'!C27+('Financial Statements'!C81+'Financial Statements'!C77)-'Financial Statements'!C58</f>
        <v>2927315722.4400001</v>
      </c>
      <c r="E51" s="63">
        <f>$C$54*'Financial Statements'!D27+('Financial Statements'!D81+'Financial Statements'!D77)-'Financial Statements'!D58</f>
        <v>3041375321.1300001</v>
      </c>
      <c r="G51" s="60" t="s">
        <v>178</v>
      </c>
    </row>
    <row r="54" spans="1:7" x14ac:dyDescent="0.3">
      <c r="B54" t="s">
        <v>165</v>
      </c>
      <c r="C54">
        <v>175.27</v>
      </c>
    </row>
    <row r="58" spans="1:7" x14ac:dyDescent="0.3">
      <c r="B58" t="s">
        <v>166</v>
      </c>
    </row>
  </sheetData>
  <mergeCells count="5">
    <mergeCell ref="N12:O12"/>
    <mergeCell ref="C2:E2"/>
    <mergeCell ref="N8:O8"/>
    <mergeCell ref="N9:O9"/>
    <mergeCell ref="N10:O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3</vt:i4>
      </vt:variant>
    </vt:vector>
  </HeadingPairs>
  <TitlesOfParts>
    <vt:vector size="3" baseType="lpstr">
      <vt:lpstr>Instructions</vt:lpstr>
      <vt:lpstr>Financial Statements</vt:lpstr>
      <vt:lpstr>List of Ratios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2023-06-02T20:13:12Z</dcterms:created>
  <dcterms:modified xsi:type="dcterms:W3CDTF">2023-06-05T18:07:55Z</dcterms:modified>
  <cp:category/>
  <cp:contentStatus/>
</cp:coreProperties>
</file>