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1.xml" ContentType="application/vnd.openxmlformats-officedocument.drawing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34BB5C9D-BD40-5C42-BAD6-25EAC6493BC9}" xr6:coauthVersionLast="47" xr6:coauthVersionMax="47" xr10:uidLastSave="{00000000-0000-0000-0000-000000000000}"/>
  <bookViews>
    <workbookView xWindow="0" yWindow="0" windowWidth="23040" windowHeight="8688" activeTab="2" xr2:uid="{00000000-000D-0000-FFFF-FFFF00000000}"/>
  </bookViews>
  <sheets>
    <sheet name="Instructions" sheetId="2" r:id="rId1"/>
    <sheet name="Financial Statements" sheetId="1" r:id="rId2"/>
    <sheet name="List of Ratios" sheetId="3" r:id="rId3"/>
    <sheet name="Task 2" sheetId="5" r:id="rId4"/>
    <sheet name="Task 3 " sheetId="4" r:id="rId5"/>
    <sheet name="Task 4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  <c r="C104" i="5"/>
  <c r="C103" i="5"/>
  <c r="C102" i="5"/>
  <c r="C96" i="5"/>
  <c r="C95" i="5"/>
  <c r="C94" i="5"/>
  <c r="C88" i="5"/>
  <c r="C87" i="5"/>
  <c r="C86" i="5"/>
  <c r="C80" i="5"/>
  <c r="C79" i="5"/>
  <c r="C78" i="5"/>
  <c r="C72" i="5"/>
  <c r="C71" i="5"/>
  <c r="C70" i="5"/>
  <c r="C64" i="5"/>
  <c r="C63" i="5"/>
  <c r="C62" i="5"/>
  <c r="C56" i="5"/>
  <c r="C55" i="5"/>
  <c r="C54" i="5"/>
  <c r="C48" i="5"/>
  <c r="C47" i="5"/>
  <c r="C46" i="5"/>
  <c r="C40" i="5"/>
  <c r="C39" i="5"/>
  <c r="C38" i="5"/>
  <c r="C32" i="5"/>
  <c r="C31" i="5"/>
  <c r="C30" i="5"/>
  <c r="C24" i="5"/>
  <c r="C23" i="5"/>
  <c r="C22" i="5"/>
  <c r="C16" i="5"/>
  <c r="C15" i="5"/>
  <c r="C14" i="5"/>
  <c r="C8" i="5"/>
  <c r="C7" i="5"/>
  <c r="C6" i="5"/>
  <c r="C43" i="4"/>
  <c r="C42" i="4"/>
  <c r="C41" i="4"/>
  <c r="C34" i="4"/>
  <c r="C33" i="4"/>
  <c r="C32" i="4"/>
  <c r="C23" i="4"/>
  <c r="C24" i="4"/>
  <c r="C25" i="4"/>
  <c r="C14" i="4"/>
  <c r="C15" i="4"/>
  <c r="C16" i="4"/>
  <c r="C8" i="4"/>
  <c r="C9" i="4"/>
  <c r="D32" i="3"/>
  <c r="E32" i="3"/>
  <c r="C32" i="3"/>
  <c r="D80" i="3"/>
  <c r="E80" i="3"/>
  <c r="C80" i="3"/>
  <c r="D63" i="3"/>
  <c r="E63" i="3"/>
  <c r="C63" i="3"/>
  <c r="E62" i="3"/>
  <c r="D62" i="3"/>
  <c r="C62" i="3"/>
  <c r="D59" i="3"/>
  <c r="E59" i="3"/>
  <c r="C59" i="3"/>
  <c r="D58" i="3"/>
  <c r="E58" i="3"/>
  <c r="C58" i="3"/>
  <c r="D53" i="3"/>
  <c r="E53" i="3"/>
  <c r="C53" i="3"/>
  <c r="D47" i="3"/>
  <c r="D48" i="3"/>
  <c r="E47" i="3"/>
  <c r="E48" i="3"/>
  <c r="C47" i="3"/>
  <c r="C48" i="3"/>
  <c r="D43" i="3"/>
  <c r="D42" i="3"/>
  <c r="E43" i="3"/>
  <c r="E42" i="3"/>
  <c r="C43" i="3"/>
  <c r="C42" i="3"/>
  <c r="E91" i="1"/>
  <c r="E68" i="1"/>
  <c r="E61" i="1"/>
  <c r="E56" i="1"/>
  <c r="E47" i="1"/>
  <c r="E42" i="1"/>
  <c r="E48" i="1"/>
  <c r="E17" i="1"/>
  <c r="E12" i="1"/>
  <c r="E8" i="1"/>
  <c r="E13" i="1"/>
  <c r="E18" i="1"/>
  <c r="E20" i="1"/>
  <c r="E22" i="1"/>
  <c r="E62" i="1"/>
  <c r="E69" i="1"/>
  <c r="D108" i="1"/>
  <c r="C108" i="1"/>
  <c r="B108" i="1"/>
  <c r="D99" i="1"/>
  <c r="C99" i="1"/>
  <c r="B99" i="1"/>
  <c r="D68" i="1"/>
  <c r="C68" i="1"/>
  <c r="B68" i="1"/>
  <c r="D61" i="1"/>
  <c r="E68" i="3"/>
  <c r="C61" i="1"/>
  <c r="D68" i="3"/>
  <c r="B61" i="1"/>
  <c r="C68" i="3"/>
  <c r="D56" i="1"/>
  <c r="C56" i="1"/>
  <c r="B56" i="1"/>
  <c r="B42" i="1"/>
  <c r="B47" i="1"/>
  <c r="B48" i="1"/>
  <c r="D47" i="1"/>
  <c r="E66" i="3"/>
  <c r="C47" i="1"/>
  <c r="D66" i="3"/>
  <c r="D42" i="1"/>
  <c r="C42" i="1"/>
  <c r="D17" i="1"/>
  <c r="E64" i="3"/>
  <c r="C17" i="1"/>
  <c r="D64" i="3"/>
  <c r="B17" i="1"/>
  <c r="C64" i="3"/>
  <c r="D12" i="1"/>
  <c r="C12" i="1"/>
  <c r="B12" i="1"/>
  <c r="D8" i="1"/>
  <c r="C8" i="1"/>
  <c r="B8" i="1"/>
  <c r="E3" i="3"/>
  <c r="D3" i="3"/>
  <c r="C3" i="3"/>
  <c r="D33" i="1"/>
  <c r="D73" i="1"/>
  <c r="C33" i="1"/>
  <c r="C73" i="1"/>
  <c r="B33" i="1"/>
  <c r="B73" i="1"/>
  <c r="C13" i="1"/>
  <c r="D74" i="3"/>
  <c r="D60" i="3"/>
  <c r="D37" i="3"/>
  <c r="D75" i="3"/>
  <c r="D11" i="3"/>
  <c r="D79" i="3"/>
  <c r="C48" i="1"/>
  <c r="D36" i="3"/>
  <c r="B62" i="1"/>
  <c r="C45" i="3"/>
  <c r="C44" i="3"/>
  <c r="C26" i="3"/>
  <c r="D10" i="3"/>
  <c r="D9" i="3"/>
  <c r="D72" i="3"/>
  <c r="D38" i="3"/>
  <c r="E7" i="3"/>
  <c r="E67" i="3"/>
  <c r="E9" i="3"/>
  <c r="E38" i="3"/>
  <c r="E10" i="3"/>
  <c r="E11" i="3"/>
  <c r="E12" i="3"/>
  <c r="E72" i="3"/>
  <c r="D6" i="3"/>
  <c r="D8" i="3"/>
  <c r="D65" i="3"/>
  <c r="D14" i="3"/>
  <c r="D13" i="3"/>
  <c r="D5" i="3"/>
  <c r="C69" i="3"/>
  <c r="C25" i="3"/>
  <c r="C27" i="3"/>
  <c r="D13" i="1"/>
  <c r="E79" i="3"/>
  <c r="E75" i="3"/>
  <c r="E74" i="3"/>
  <c r="E60" i="3"/>
  <c r="E37" i="3"/>
  <c r="D67" i="3"/>
  <c r="D7" i="3"/>
  <c r="E65" i="3"/>
  <c r="E8" i="3"/>
  <c r="E14" i="3"/>
  <c r="E13" i="3"/>
  <c r="E6" i="3"/>
  <c r="E5" i="3"/>
  <c r="D27" i="3"/>
  <c r="D25" i="3"/>
  <c r="D69" i="3"/>
  <c r="C9" i="3"/>
  <c r="C10" i="3"/>
  <c r="C38" i="3"/>
  <c r="C72" i="3"/>
  <c r="C67" i="3"/>
  <c r="C7" i="3"/>
  <c r="C65" i="3"/>
  <c r="C14" i="3"/>
  <c r="C33" i="3"/>
  <c r="B13" i="1"/>
  <c r="B18" i="1"/>
  <c r="B20" i="1"/>
  <c r="B22" i="1"/>
  <c r="C31" i="3"/>
  <c r="C30" i="3"/>
  <c r="C8" i="3"/>
  <c r="C6" i="3"/>
  <c r="C5" i="3"/>
  <c r="C79" i="3"/>
  <c r="C75" i="3"/>
  <c r="C74" i="3"/>
  <c r="C60" i="3"/>
  <c r="C11" i="3"/>
  <c r="C37" i="3"/>
  <c r="C36" i="3"/>
  <c r="C66" i="3"/>
  <c r="E69" i="3"/>
  <c r="E27" i="3"/>
  <c r="E25" i="3"/>
  <c r="C62" i="1"/>
  <c r="C69" i="1"/>
  <c r="D62" i="1"/>
  <c r="D69" i="1"/>
  <c r="D48" i="1"/>
  <c r="B69" i="1"/>
  <c r="A49" i="3"/>
  <c r="A51" i="3"/>
  <c r="A16" i="3"/>
  <c r="A17" i="3"/>
  <c r="A18" i="3"/>
  <c r="A20" i="3"/>
  <c r="A22" i="3"/>
  <c r="A5" i="3"/>
  <c r="A6" i="3"/>
  <c r="A7" i="3"/>
  <c r="A8" i="3"/>
  <c r="A9" i="3"/>
  <c r="A10" i="3"/>
  <c r="A11" i="3"/>
  <c r="A12" i="3"/>
  <c r="A13" i="3"/>
  <c r="C61" i="3"/>
  <c r="C17" i="3"/>
  <c r="C73" i="3"/>
  <c r="C13" i="3"/>
  <c r="D45" i="3"/>
  <c r="D44" i="3"/>
  <c r="D26" i="3"/>
  <c r="D18" i="1"/>
  <c r="E61" i="3"/>
  <c r="E73" i="3"/>
  <c r="E17" i="3"/>
  <c r="E45" i="3"/>
  <c r="E44" i="3"/>
  <c r="E26" i="3"/>
  <c r="E36" i="3"/>
  <c r="D33" i="3"/>
  <c r="C18" i="1"/>
  <c r="D73" i="3"/>
  <c r="D61" i="3"/>
  <c r="D17" i="3"/>
  <c r="A24" i="3"/>
  <c r="A25" i="3"/>
  <c r="A26" i="3"/>
  <c r="A27" i="3"/>
  <c r="A28" i="3"/>
  <c r="A29" i="3"/>
  <c r="A30" i="3"/>
  <c r="D20" i="1"/>
  <c r="E29" i="3"/>
  <c r="E76" i="3"/>
  <c r="C20" i="1"/>
  <c r="D29" i="3"/>
  <c r="D76" i="3"/>
  <c r="C29" i="3"/>
  <c r="C76" i="3"/>
  <c r="A35" i="3"/>
  <c r="A41" i="3"/>
  <c r="A42" i="3"/>
  <c r="A43" i="3"/>
  <c r="A44" i="3"/>
  <c r="A45" i="3"/>
  <c r="A46" i="3"/>
  <c r="A48" i="3"/>
  <c r="A50" i="3"/>
  <c r="A52" i="3"/>
  <c r="C78" i="3"/>
  <c r="C21" i="3"/>
  <c r="C19" i="3"/>
  <c r="C18" i="3"/>
  <c r="C28" i="3"/>
  <c r="C22" i="1"/>
  <c r="D78" i="3"/>
  <c r="D21" i="3"/>
  <c r="D20" i="3"/>
  <c r="D28" i="3"/>
  <c r="D19" i="3"/>
  <c r="D18" i="3"/>
  <c r="D22" i="1"/>
  <c r="E78" i="3"/>
  <c r="E21" i="3"/>
  <c r="E20" i="3"/>
  <c r="E19" i="3"/>
  <c r="E18" i="3"/>
  <c r="E28" i="3"/>
  <c r="A36" i="3"/>
  <c r="A37" i="3"/>
  <c r="A38" i="3"/>
  <c r="A39" i="3"/>
  <c r="D76" i="1"/>
  <c r="D91" i="1"/>
  <c r="D109" i="1"/>
  <c r="E46" i="3"/>
  <c r="E51" i="3"/>
  <c r="E77" i="3"/>
  <c r="E49" i="3"/>
  <c r="E39" i="3"/>
  <c r="E22" i="3"/>
  <c r="C50" i="3"/>
  <c r="C20" i="3"/>
  <c r="C76" i="1"/>
  <c r="C91" i="1"/>
  <c r="C109" i="1"/>
  <c r="D51" i="3"/>
  <c r="D77" i="3"/>
  <c r="D49" i="3"/>
  <c r="D46" i="3"/>
  <c r="D22" i="3"/>
  <c r="D39" i="3"/>
  <c r="B76" i="1"/>
  <c r="B91" i="1"/>
  <c r="B109" i="1"/>
  <c r="C46" i="3"/>
  <c r="C39" i="3"/>
  <c r="C51" i="3"/>
  <c r="C77" i="3"/>
  <c r="C49" i="3"/>
  <c r="C22" i="3"/>
  <c r="D12" i="3"/>
  <c r="E50" i="3"/>
  <c r="D52" i="3"/>
  <c r="E52" i="3"/>
  <c r="C52" i="3"/>
  <c r="C12" i="3"/>
  <c r="D31" i="3"/>
  <c r="D30" i="3"/>
  <c r="D50" i="3"/>
  <c r="E33" i="3"/>
  <c r="E31" i="3"/>
  <c r="E30" i="3"/>
</calcChain>
</file>

<file path=xl/sharedStrings.xml><?xml version="1.0" encoding="utf-8"?>
<sst xmlns="http://schemas.openxmlformats.org/spreadsheetml/2006/main" count="350" uniqueCount="204">
  <si>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</si>
  <si>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</si>
  <si>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</si>
  <si>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</si>
  <si>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</si>
  <si>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</si>
  <si>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</si>
  <si>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</si>
  <si>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</si>
  <si>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</si>
  <si>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</si>
  <si>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</si>
  <si>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</si>
  <si>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</si>
  <si>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</si>
  <si>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</si>
  <si>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</si>
  <si>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</si>
  <si>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</si>
  <si>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</si>
  <si>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</si>
  <si>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</si>
  <si>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</si>
  <si>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</si>
  <si>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</si>
  <si>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</si>
  <si>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</si>
  <si>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</si>
  <si>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</si>
  <si>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</si>
  <si>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</si>
  <si>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</si>
  <si>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</si>
  <si>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</si>
  <si>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</si>
  <si>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</si>
  <si>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</si>
  <si>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</si>
  <si>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</si>
  <si>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</si>
  <si>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</si>
  <si>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</si>
  <si>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</si>
  <si>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</si>
  <si>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</si>
  <si>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</si>
  <si>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</si>
  <si>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</si>
  <si>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</si>
  <si>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</si>
  <si>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</si>
  <si>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</si>
  <si>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</si>
  <si>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</si>
  <si>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</si>
  <si>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</si>
  <si>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</si>
  <si>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</si>
  <si>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</si>
  <si>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</si>
  <si>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</si>
  <si>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</si>
  <si>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</si>
  <si>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</si>
  <si>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</si>
  <si>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</si>
  <si>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</si>
  <si>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</si>
  <si>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</si>
  <si>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</si>
  <si>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</si>
  <si>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</si>
  <si>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</si>
  <si>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</si>
  <si>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</si>
  <si>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</si>
  <si>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</si>
  <si>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</si>
  <si>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</si>
  <si>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</si>
  <si>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</si>
  <si>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</si>
  <si>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</si>
  <si>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</si>
  <si>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</si>
  <si>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</si>
  <si>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</si>
  <si>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</si>
  <si>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</si>
  <si>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</si>
  <si>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</si>
  <si>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</si>
  <si>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</si>
  <si>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</si>
  <si>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</si>
  <si>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</si>
  <si>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</si>
  <si>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</si>
  <si>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</si>
  <si>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</si>
  <si>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</si>
  <si>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</si>
  <si>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</si>
  <si>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</si>
  <si>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</si>
  <si>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</si>
  <si>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</si>
  <si>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</si>
  <si>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</si>
  <si>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</si>
  <si>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</si>
  <si>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</si>
  <si>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</si>
  <si>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</si>
  <si>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</si>
  <si>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</si>
  <si>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</si>
  <si>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</si>
  <si>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</si>
  <si>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</si>
  <si>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</si>
  <si>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</si>
  <si>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</si>
  <si>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</si>
  <si>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</si>
  <si>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</si>
  <si>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</si>
  <si>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</si>
  <si>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</si>
  <si>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</si>
  <si>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</si>
  <si>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</si>
  <si>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</si>
  <si>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</si>
  <si>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</si>
  <si>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</si>
  <si>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</si>
  <si>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</si>
  <si>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</si>
  <si>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</si>
  <si>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</si>
  <si>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</si>
  <si>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</si>
  <si>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</si>
  <si>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</si>
  <si>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</si>
  <si>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</si>
  <si>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</si>
  <si>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</si>
  <si>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</si>
  <si>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</t>
  </si>
  <si>
    <t>Margins</t>
  </si>
  <si>
    <t>Price</t>
  </si>
  <si>
    <t>Net Sales</t>
  </si>
  <si>
    <t>Non-current assets</t>
  </si>
  <si>
    <t>Current assets</t>
  </si>
  <si>
    <t>Non-current liabilities</t>
  </si>
  <si>
    <t>Current liabilities</t>
  </si>
  <si>
    <t>Change in net working capital</t>
  </si>
  <si>
    <t>Net debt</t>
  </si>
  <si>
    <t xml:space="preserve">Analysis </t>
  </si>
  <si>
    <t>POOR</t>
  </si>
  <si>
    <t xml:space="preserve">POOR </t>
  </si>
  <si>
    <t xml:space="preserve">EXCELLENT </t>
  </si>
  <si>
    <t>OK</t>
  </si>
  <si>
    <t>EXCELLENT</t>
  </si>
  <si>
    <t xml:space="preserve">Years </t>
  </si>
  <si>
    <t xml:space="preserve">Sales </t>
  </si>
  <si>
    <t xml:space="preserve">Growth Rates </t>
  </si>
  <si>
    <t>Years</t>
  </si>
  <si>
    <t>Sales</t>
  </si>
  <si>
    <t xml:space="preserve">Growth </t>
  </si>
  <si>
    <t xml:space="preserve">Products </t>
  </si>
  <si>
    <t xml:space="preserve">Services </t>
  </si>
  <si>
    <t>Growth</t>
  </si>
  <si>
    <t>Total Net Sales</t>
  </si>
  <si>
    <t>Total Cost of Sales</t>
  </si>
  <si>
    <t>Gross Margin</t>
  </si>
  <si>
    <t xml:space="preserve">Operating Expenses </t>
  </si>
  <si>
    <t xml:space="preserve">Income before provision for income taxes </t>
  </si>
  <si>
    <t xml:space="preserve">Net Income </t>
  </si>
  <si>
    <t>Current Assets</t>
  </si>
  <si>
    <t>Non- Current Assets</t>
  </si>
  <si>
    <t>Current Liabilites</t>
  </si>
  <si>
    <t xml:space="preserve">Non- Current Liabilities </t>
  </si>
  <si>
    <t>Cost of Sale</t>
  </si>
  <si>
    <t xml:space="preserve">Operating Expense </t>
  </si>
  <si>
    <t xml:space="preserve">Operating income </t>
  </si>
  <si>
    <t>Year</t>
  </si>
  <si>
    <t>Do not include Vendor non trade receivables and Other current assets in Quick assets</t>
  </si>
  <si>
    <t>Current Assets / Daily Operational Expenses, where Daily Operational Expenses = (Annual Operating Expenses - Noncash Charges) / 365</t>
  </si>
  <si>
    <t>Operating Income + Depreciation &amp; Amortization</t>
  </si>
  <si>
    <t>Should be Operating Income (before other income)</t>
  </si>
  <si>
    <t>Include only long term debt, short term portion of debt and commercial papers are not actual capital</t>
  </si>
  <si>
    <t>Term Debt/(Term Debt + Total Equity)</t>
  </si>
  <si>
    <t>Change Operating Income</t>
  </si>
  <si>
    <t>Net Operating Income/ (Interest + Debt repayment)</t>
  </si>
  <si>
    <t>Cash flow from operations can be taken from cash flow statement</t>
  </si>
  <si>
    <t>Net debt issued should be taken from cash flow statement</t>
  </si>
  <si>
    <t>Source changes in working capital from cash flow statement</t>
  </si>
  <si>
    <t>Use bracket for denominator i.e. ('Financial Statements'!D28/1000)</t>
  </si>
  <si>
    <t>Use only Shareholder equity and Term debt for capital employed. Other items are not actual capital</t>
  </si>
  <si>
    <t>Feedback</t>
  </si>
  <si>
    <t>Do not multiply by 100, instead use the % formating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</si>
</sst>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6"/>
      <name val="Yu Gothic"/>
      <family val="2"/>
      <charset val="128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3" applyNumberFormat="1" applyFont="1"/>
    <xf numFmtId="2" fontId="0" fillId="0" borderId="0" xfId="0" applyNumberFormat="1"/>
    <xf numFmtId="0" fontId="9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1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18" Type="http://schemas.openxmlformats.org/officeDocument/2006/relationships/image" Target="../media/image9.png"/><Relationship Id="rId26" Type="http://schemas.openxmlformats.org/officeDocument/2006/relationships/image" Target="../media/image13.png"/><Relationship Id="rId3" Type="http://schemas.openxmlformats.org/officeDocument/2006/relationships/customXml" Target="../ink/ink2.xml"/><Relationship Id="rId21" Type="http://schemas.openxmlformats.org/officeDocument/2006/relationships/customXml" Target="../ink/ink11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17" Type="http://schemas.openxmlformats.org/officeDocument/2006/relationships/customXml" Target="../ink/ink9.xml"/><Relationship Id="rId25" Type="http://schemas.openxmlformats.org/officeDocument/2006/relationships/customXml" Target="../ink/ink13.xm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29" Type="http://schemas.openxmlformats.org/officeDocument/2006/relationships/customXml" Target="../ink/ink15.xml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24" Type="http://schemas.openxmlformats.org/officeDocument/2006/relationships/image" Target="../media/image12.png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23" Type="http://schemas.openxmlformats.org/officeDocument/2006/relationships/customXml" Target="../ink/ink12.xml"/><Relationship Id="rId28" Type="http://schemas.openxmlformats.org/officeDocument/2006/relationships/image" Target="../media/image14.png"/><Relationship Id="rId10" Type="http://schemas.openxmlformats.org/officeDocument/2006/relationships/image" Target="../media/image5.png"/><Relationship Id="rId19" Type="http://schemas.openxmlformats.org/officeDocument/2006/relationships/customXml" Target="../ink/ink10.xml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Relationship Id="rId22" Type="http://schemas.openxmlformats.org/officeDocument/2006/relationships/image" Target="../media/image11.png"/><Relationship Id="rId27" Type="http://schemas.openxmlformats.org/officeDocument/2006/relationships/customXml" Target="../ink/ink14.xml"/><Relationship Id="rId30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101420</xdr:colOff>
      <xdr:row>40</xdr:row>
      <xdr:rowOff>67440</xdr:rowOff>
    </xdr:from>
    <xdr:to>
      <xdr:col>3</xdr:col>
      <xdr:colOff>29660</xdr:colOff>
      <xdr:row>40</xdr:row>
      <xdr:rowOff>137280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4AE79395-D25F-A38B-B2F3-C82B945E1C7C}"/>
                </a:ext>
              </a:extLst>
            </xdr14:cNvPr>
            <xdr14:cNvContentPartPr/>
          </xdr14:nvContentPartPr>
          <xdr14:nvPr macro=""/>
          <xdr14:xfrm>
            <a:off x="1485720" y="7687440"/>
            <a:ext cx="537840" cy="69840"/>
          </xdr14:xfrm>
        </xdr:contentPart>
      </mc:Choice>
      <mc:Fallback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4AE79395-D25F-A38B-B2F3-C82B945E1C7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32080" y="7579800"/>
              <a:ext cx="645480" cy="285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143900</xdr:colOff>
      <xdr:row>41</xdr:row>
      <xdr:rowOff>54780</xdr:rowOff>
    </xdr:from>
    <xdr:to>
      <xdr:col>3</xdr:col>
      <xdr:colOff>22100</xdr:colOff>
      <xdr:row>41</xdr:row>
      <xdr:rowOff>114540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4199E659-A378-B305-C4F2-8EE5880D2578}"/>
                </a:ext>
                <a:ext uri="{147F2762-F138-4A5C-976F-8EAC2B608ADB}">
                  <a16:predDERef xmlns:a16="http://schemas.microsoft.com/office/drawing/2014/main" pred="{4AE79395-D25F-A38B-B2F3-C82B945E1C7C}"/>
                </a:ext>
              </a:extLst>
            </xdr14:cNvPr>
            <xdr14:cNvContentPartPr/>
          </xdr14:nvContentPartPr>
          <xdr14:nvPr macro=""/>
          <xdr14:xfrm>
            <a:off x="1528200" y="7865280"/>
            <a:ext cx="487800" cy="59760"/>
          </xdr14:xfrm>
        </xdr:contentPart>
      </mc:Choice>
      <mc:Fallback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4199E659-A378-B305-C4F2-8EE5880D2578}"/>
                </a:ext>
                <a:ext uri="{147F2762-F138-4A5C-976F-8EAC2B608ADB}">
                  <a16:predDERef xmlns:a16="http://schemas.microsoft.com/office/drawing/2014/main" pred="{4AE79395-D25F-A38B-B2F3-C82B945E1C7C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474200" y="7757640"/>
              <a:ext cx="595440" cy="275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105740</xdr:colOff>
      <xdr:row>42</xdr:row>
      <xdr:rowOff>92880</xdr:rowOff>
    </xdr:from>
    <xdr:to>
      <xdr:col>2</xdr:col>
      <xdr:colOff>551060</xdr:colOff>
      <xdr:row>42</xdr:row>
      <xdr:rowOff>110160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F9C4D7FC-5A56-B1B1-32EF-DCC0088EEF2B}"/>
                </a:ext>
                <a:ext uri="{147F2762-F138-4A5C-976F-8EAC2B608ADB}">
                  <a16:predDERef xmlns:a16="http://schemas.microsoft.com/office/drawing/2014/main" pred="{4199E659-A378-B305-C4F2-8EE5880D2578}"/>
                </a:ext>
              </a:extLst>
            </xdr14:cNvPr>
            <xdr14:cNvContentPartPr/>
          </xdr14:nvContentPartPr>
          <xdr14:nvPr macro=""/>
          <xdr14:xfrm>
            <a:off x="1490040" y="8093880"/>
            <a:ext cx="445320" cy="17280"/>
          </xdr14:xfrm>
        </xdr:contentPart>
      </mc:Choice>
      <mc:Fallback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F9C4D7FC-5A56-B1B1-32EF-DCC0088EEF2B}"/>
                </a:ext>
                <a:ext uri="{147F2762-F138-4A5C-976F-8EAC2B608ADB}">
                  <a16:predDERef xmlns:a16="http://schemas.microsoft.com/office/drawing/2014/main" pred="{4199E659-A378-B305-C4F2-8EE5880D2578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436040" y="7986240"/>
              <a:ext cx="552960" cy="232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160820</xdr:colOff>
      <xdr:row>33</xdr:row>
      <xdr:rowOff>54900</xdr:rowOff>
    </xdr:from>
    <xdr:to>
      <xdr:col>2</xdr:col>
      <xdr:colOff>529460</xdr:colOff>
      <xdr:row>33</xdr:row>
      <xdr:rowOff>114660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A8FB266F-161E-58DD-7E62-5B59597BAF59}"/>
                </a:ext>
                <a:ext uri="{147F2762-F138-4A5C-976F-8EAC2B608ADB}">
                  <a16:predDERef xmlns:a16="http://schemas.microsoft.com/office/drawing/2014/main" pred="{F9C4D7FC-5A56-B1B1-32EF-DCC0088EEF2B}"/>
                </a:ext>
              </a:extLst>
            </xdr14:cNvPr>
            <xdr14:cNvContentPartPr/>
          </xdr14:nvContentPartPr>
          <xdr14:nvPr macro=""/>
          <xdr14:xfrm>
            <a:off x="1545120" y="6341400"/>
            <a:ext cx="368640" cy="59760"/>
          </xdr14:xfrm>
        </xdr:contentPart>
      </mc:Choice>
      <mc:Fallback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A8FB266F-161E-58DD-7E62-5B59597BAF59}"/>
                </a:ext>
                <a:ext uri="{147F2762-F138-4A5C-976F-8EAC2B608ADB}">
                  <a16:predDERef xmlns:a16="http://schemas.microsoft.com/office/drawing/2014/main" pred="{F9C4D7FC-5A56-B1B1-32EF-DCC0088EEF2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491120" y="6233400"/>
              <a:ext cx="476280" cy="275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232820</xdr:colOff>
      <xdr:row>32</xdr:row>
      <xdr:rowOff>6000</xdr:rowOff>
    </xdr:from>
    <xdr:to>
      <xdr:col>3</xdr:col>
      <xdr:colOff>123260</xdr:colOff>
      <xdr:row>32</xdr:row>
      <xdr:rowOff>101760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D6A3BBFB-0FF9-AF3A-13BD-0EC2C0EECC27}"/>
                </a:ext>
                <a:ext uri="{147F2762-F138-4A5C-976F-8EAC2B608ADB}">
                  <a16:predDERef xmlns:a16="http://schemas.microsoft.com/office/drawing/2014/main" pred="{A8FB266F-161E-58DD-7E62-5B59597BAF59}"/>
                </a:ext>
              </a:extLst>
            </xdr14:cNvPr>
            <xdr14:cNvContentPartPr/>
          </xdr14:nvContentPartPr>
          <xdr14:nvPr macro=""/>
          <xdr14:xfrm>
            <a:off x="1617120" y="6102000"/>
            <a:ext cx="500040" cy="95760"/>
          </xdr14:xfrm>
        </xdr:contentPart>
      </mc:Choice>
      <mc:Fallback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D6A3BBFB-0FF9-AF3A-13BD-0EC2C0EECC27}"/>
                </a:ext>
                <a:ext uri="{147F2762-F138-4A5C-976F-8EAC2B608ADB}">
                  <a16:predDERef xmlns:a16="http://schemas.microsoft.com/office/drawing/2014/main" pred="{A8FB266F-161E-58DD-7E62-5B59597BAF59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563120" y="5994000"/>
              <a:ext cx="607680" cy="311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156500</xdr:colOff>
      <xdr:row>31</xdr:row>
      <xdr:rowOff>37740</xdr:rowOff>
    </xdr:from>
    <xdr:to>
      <xdr:col>3</xdr:col>
      <xdr:colOff>156740</xdr:colOff>
      <xdr:row>31</xdr:row>
      <xdr:rowOff>59340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F774F92-C604-0470-0213-DDEEE4BAA782}"/>
                </a:ext>
                <a:ext uri="{147F2762-F138-4A5C-976F-8EAC2B608ADB}">
                  <a16:predDERef xmlns:a16="http://schemas.microsoft.com/office/drawing/2014/main" pred="{D6A3BBFB-0FF9-AF3A-13BD-0EC2C0EECC27}"/>
                </a:ext>
              </a:extLst>
            </xdr14:cNvPr>
            <xdr14:cNvContentPartPr/>
          </xdr14:nvContentPartPr>
          <xdr14:nvPr macro=""/>
          <xdr14:xfrm>
            <a:off x="1540800" y="5943240"/>
            <a:ext cx="609840" cy="21600"/>
          </xdr14:xfrm>
        </xdr:contentPart>
      </mc:Choice>
      <mc:Fallback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F774F92-C604-0470-0213-DDEEE4BAA782}"/>
                </a:ext>
                <a:ext uri="{147F2762-F138-4A5C-976F-8EAC2B608ADB}">
                  <a16:predDERef xmlns:a16="http://schemas.microsoft.com/office/drawing/2014/main" pred="{D6A3BBFB-0FF9-AF3A-13BD-0EC2C0EECC27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486800" y="5835600"/>
              <a:ext cx="717480" cy="237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114020</xdr:colOff>
      <xdr:row>32</xdr:row>
      <xdr:rowOff>29400</xdr:rowOff>
    </xdr:from>
    <xdr:to>
      <xdr:col>2</xdr:col>
      <xdr:colOff>533420</xdr:colOff>
      <xdr:row>32</xdr:row>
      <xdr:rowOff>67920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84009051-5CC2-F97B-E8D7-372CFE9B05D9}"/>
                </a:ext>
                <a:ext uri="{147F2762-F138-4A5C-976F-8EAC2B608ADB}">
                  <a16:predDERef xmlns:a16="http://schemas.microsoft.com/office/drawing/2014/main" pred="{5F774F92-C604-0470-0213-DDEEE4BAA782}"/>
                </a:ext>
              </a:extLst>
            </xdr14:cNvPr>
            <xdr14:cNvContentPartPr/>
          </xdr14:nvContentPartPr>
          <xdr14:nvPr macro=""/>
          <xdr14:xfrm>
            <a:off x="1498320" y="6125400"/>
            <a:ext cx="419400" cy="38520"/>
          </xdr14:xfrm>
        </xdr:contentPart>
      </mc:Choice>
      <mc:Fallback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84009051-5CC2-F97B-E8D7-372CFE9B05D9}"/>
                </a:ext>
                <a:ext uri="{147F2762-F138-4A5C-976F-8EAC2B608ADB}">
                  <a16:predDERef xmlns:a16="http://schemas.microsoft.com/office/drawing/2014/main" pred="{5F774F92-C604-0470-0213-DDEEE4BAA782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444680" y="6017760"/>
              <a:ext cx="527040" cy="254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160820</xdr:colOff>
      <xdr:row>24</xdr:row>
      <xdr:rowOff>80280</xdr:rowOff>
    </xdr:from>
    <xdr:to>
      <xdr:col>3</xdr:col>
      <xdr:colOff>275540</xdr:colOff>
      <xdr:row>24</xdr:row>
      <xdr:rowOff>152640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39AC3523-2CB1-9088-4A30-AC4C05787830}"/>
                </a:ext>
                <a:ext uri="{147F2762-F138-4A5C-976F-8EAC2B608ADB}">
                  <a16:predDERef xmlns:a16="http://schemas.microsoft.com/office/drawing/2014/main" pred="{84009051-5CC2-F97B-E8D7-372CFE9B05D9}"/>
                </a:ext>
              </a:extLst>
            </xdr14:cNvPr>
            <xdr14:cNvContentPartPr/>
          </xdr14:nvContentPartPr>
          <xdr14:nvPr macro=""/>
          <xdr14:xfrm>
            <a:off x="1545120" y="4652280"/>
            <a:ext cx="724320" cy="72360"/>
          </xdr14:xfrm>
        </xdr:contentPart>
      </mc:Choice>
      <mc:Fallback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39AC3523-2CB1-9088-4A30-AC4C05787830}"/>
                </a:ext>
                <a:ext uri="{147F2762-F138-4A5C-976F-8EAC2B608ADB}">
                  <a16:predDERef xmlns:a16="http://schemas.microsoft.com/office/drawing/2014/main" pred="{84009051-5CC2-F97B-E8D7-372CFE9B05D9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491120" y="4544280"/>
              <a:ext cx="831960" cy="28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67580</xdr:colOff>
      <xdr:row>23</xdr:row>
      <xdr:rowOff>25260</xdr:rowOff>
    </xdr:from>
    <xdr:to>
      <xdr:col>3</xdr:col>
      <xdr:colOff>161060</xdr:colOff>
      <xdr:row>23</xdr:row>
      <xdr:rowOff>55140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7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E5DA8AC8-912D-0719-228A-A99752B8B165}"/>
                </a:ext>
                <a:ext uri="{147F2762-F138-4A5C-976F-8EAC2B608ADB}">
                  <a16:predDERef xmlns:a16="http://schemas.microsoft.com/office/drawing/2014/main" pred="{39AC3523-2CB1-9088-4A30-AC4C05787830}"/>
                </a:ext>
              </a:extLst>
            </xdr14:cNvPr>
            <xdr14:cNvContentPartPr/>
          </xdr14:nvContentPartPr>
          <xdr14:nvPr macro=""/>
          <xdr14:xfrm>
            <a:off x="1451880" y="4406760"/>
            <a:ext cx="703080" cy="29880"/>
          </xdr14:xfrm>
        </xdr:contentPart>
      </mc:Choice>
      <mc:Fallback>
        <xdr:pic>
          <xdr:nvPicPr>
            <xdr:cNvPr id="12" name="Ink 11">
              <a:extLst>
                <a:ext uri="{FF2B5EF4-FFF2-40B4-BE49-F238E27FC236}">
                  <a16:creationId xmlns:a16="http://schemas.microsoft.com/office/drawing/2014/main" id="{E5DA8AC8-912D-0719-228A-A99752B8B165}"/>
                </a:ext>
                <a:ext uri="{147F2762-F138-4A5C-976F-8EAC2B608ADB}">
                  <a16:predDERef xmlns:a16="http://schemas.microsoft.com/office/drawing/2014/main" pred="{39AC3523-2CB1-9088-4A30-AC4C05787830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397880" y="4298760"/>
              <a:ext cx="810720" cy="245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71900</xdr:colOff>
      <xdr:row>22</xdr:row>
      <xdr:rowOff>59160</xdr:rowOff>
    </xdr:from>
    <xdr:to>
      <xdr:col>3</xdr:col>
      <xdr:colOff>34340</xdr:colOff>
      <xdr:row>22</xdr:row>
      <xdr:rowOff>76440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9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D6EF0903-F424-568F-B165-705C1A03003B}"/>
                </a:ext>
                <a:ext uri="{147F2762-F138-4A5C-976F-8EAC2B608ADB}">
                  <a16:predDERef xmlns:a16="http://schemas.microsoft.com/office/drawing/2014/main" pred="{E5DA8AC8-912D-0719-228A-A99752B8B165}"/>
                </a:ext>
              </a:extLst>
            </xdr14:cNvPr>
            <xdr14:cNvContentPartPr/>
          </xdr14:nvContentPartPr>
          <xdr14:nvPr macro=""/>
          <xdr14:xfrm>
            <a:off x="1456200" y="4250160"/>
            <a:ext cx="572040" cy="17280"/>
          </xdr14:xfrm>
        </xdr:contentPart>
      </mc:Choice>
      <mc:Fallback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D6EF0903-F424-568F-B165-705C1A03003B}"/>
                </a:ext>
                <a:ext uri="{147F2762-F138-4A5C-976F-8EAC2B608ADB}">
                  <a16:predDERef xmlns:a16="http://schemas.microsoft.com/office/drawing/2014/main" pred="{E5DA8AC8-912D-0719-228A-A99752B8B165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402200" y="4142160"/>
              <a:ext cx="679680" cy="232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130940</xdr:colOff>
      <xdr:row>15</xdr:row>
      <xdr:rowOff>29340</xdr:rowOff>
    </xdr:from>
    <xdr:to>
      <xdr:col>3</xdr:col>
      <xdr:colOff>63500</xdr:colOff>
      <xdr:row>15</xdr:row>
      <xdr:rowOff>101700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1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B27F3AF6-FF8D-09F5-8AF6-754F09DC89FB}"/>
                </a:ext>
                <a:ext uri="{147F2762-F138-4A5C-976F-8EAC2B608ADB}">
                  <a16:predDERef xmlns:a16="http://schemas.microsoft.com/office/drawing/2014/main" pred="{D6EF0903-F424-568F-B165-705C1A03003B}"/>
                </a:ext>
              </a:extLst>
            </xdr14:cNvPr>
            <xdr14:cNvContentPartPr/>
          </xdr14:nvContentPartPr>
          <xdr14:nvPr macro=""/>
          <xdr14:xfrm>
            <a:off x="1515240" y="2886840"/>
            <a:ext cx="542160" cy="72360"/>
          </xdr14:xfrm>
        </xdr:contentPart>
      </mc:Choice>
      <mc:Fallback>
        <xdr:pic>
          <xdr:nvPicPr>
            <xdr:cNvPr id="14" name="Ink 13">
              <a:extLst>
                <a:ext uri="{FF2B5EF4-FFF2-40B4-BE49-F238E27FC236}">
                  <a16:creationId xmlns:a16="http://schemas.microsoft.com/office/drawing/2014/main" id="{B27F3AF6-FF8D-09F5-8AF6-754F09DC89FB}"/>
                </a:ext>
                <a:ext uri="{147F2762-F138-4A5C-976F-8EAC2B608ADB}">
                  <a16:predDERef xmlns:a16="http://schemas.microsoft.com/office/drawing/2014/main" pred="{D6EF0903-F424-568F-B165-705C1A03003B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461600" y="2779200"/>
              <a:ext cx="649800" cy="28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84500</xdr:colOff>
      <xdr:row>14</xdr:row>
      <xdr:rowOff>25080</xdr:rowOff>
    </xdr:from>
    <xdr:to>
      <xdr:col>3</xdr:col>
      <xdr:colOff>63860</xdr:colOff>
      <xdr:row>14</xdr:row>
      <xdr:rowOff>46680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3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F829AFA0-1424-F24F-CA84-9A80AE275895}"/>
                </a:ext>
                <a:ext uri="{147F2762-F138-4A5C-976F-8EAC2B608ADB}">
                  <a16:predDERef xmlns:a16="http://schemas.microsoft.com/office/drawing/2014/main" pred="{B27F3AF6-FF8D-09F5-8AF6-754F09DC89FB}"/>
                </a:ext>
              </a:extLst>
            </xdr14:cNvPr>
            <xdr14:cNvContentPartPr/>
          </xdr14:nvContentPartPr>
          <xdr14:nvPr macro=""/>
          <xdr14:xfrm>
            <a:off x="1468800" y="2692080"/>
            <a:ext cx="588960" cy="21600"/>
          </xdr14:xfrm>
        </xdr:contentPart>
      </mc:Choice>
      <mc:Fallback>
        <xdr:pic>
          <xdr:nvPicPr>
            <xdr:cNvPr id="15" name="Ink 14">
              <a:extLst>
                <a:ext uri="{FF2B5EF4-FFF2-40B4-BE49-F238E27FC236}">
                  <a16:creationId xmlns:a16="http://schemas.microsoft.com/office/drawing/2014/main" id="{F829AFA0-1424-F24F-CA84-9A80AE275895}"/>
                </a:ext>
                <a:ext uri="{147F2762-F138-4A5C-976F-8EAC2B608ADB}">
                  <a16:predDERef xmlns:a16="http://schemas.microsoft.com/office/drawing/2014/main" pred="{B27F3AF6-FF8D-09F5-8AF6-754F09DC89FB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414800" y="2584440"/>
              <a:ext cx="696600" cy="237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118340</xdr:colOff>
      <xdr:row>13</xdr:row>
      <xdr:rowOff>80220</xdr:rowOff>
    </xdr:from>
    <xdr:to>
      <xdr:col>3</xdr:col>
      <xdr:colOff>80780</xdr:colOff>
      <xdr:row>13</xdr:row>
      <xdr:rowOff>106140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5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F94FE53A-DC17-120D-CD8B-A88E32C5AC8C}"/>
                </a:ext>
                <a:ext uri="{147F2762-F138-4A5C-976F-8EAC2B608ADB}">
                  <a16:predDERef xmlns:a16="http://schemas.microsoft.com/office/drawing/2014/main" pred="{F829AFA0-1424-F24F-CA84-9A80AE275895}"/>
                </a:ext>
              </a:extLst>
            </xdr14:cNvPr>
            <xdr14:cNvContentPartPr/>
          </xdr14:nvContentPartPr>
          <xdr14:nvPr macro=""/>
          <xdr14:xfrm>
            <a:off x="1502640" y="2556720"/>
            <a:ext cx="572040" cy="25920"/>
          </xdr14:xfrm>
        </xdr:contentPart>
      </mc:Choice>
      <mc:Fallback>
        <xdr:pic>
          <xdr:nvPicPr>
            <xdr:cNvPr id="16" name="Ink 15">
              <a:extLst>
                <a:ext uri="{FF2B5EF4-FFF2-40B4-BE49-F238E27FC236}">
                  <a16:creationId xmlns:a16="http://schemas.microsoft.com/office/drawing/2014/main" id="{F94FE53A-DC17-120D-CD8B-A88E32C5AC8C}"/>
                </a:ext>
                <a:ext uri="{147F2762-F138-4A5C-976F-8EAC2B608ADB}">
                  <a16:predDERef xmlns:a16="http://schemas.microsoft.com/office/drawing/2014/main" pred="{F829AFA0-1424-F24F-CA84-9A80AE275895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449000" y="2449080"/>
              <a:ext cx="679680" cy="241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126980</xdr:colOff>
      <xdr:row>8</xdr:row>
      <xdr:rowOff>71880</xdr:rowOff>
    </xdr:from>
    <xdr:to>
      <xdr:col>3</xdr:col>
      <xdr:colOff>68180</xdr:colOff>
      <xdr:row>8</xdr:row>
      <xdr:rowOff>114720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7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5633D77C-3B7F-C69F-E0EB-B8B4AF52D6C4}"/>
                </a:ext>
                <a:ext uri="{147F2762-F138-4A5C-976F-8EAC2B608ADB}">
                  <a16:predDERef xmlns:a16="http://schemas.microsoft.com/office/drawing/2014/main" pred="{F94FE53A-DC17-120D-CD8B-A88E32C5AC8C}"/>
                </a:ext>
              </a:extLst>
            </xdr14:cNvPr>
            <xdr14:cNvContentPartPr/>
          </xdr14:nvContentPartPr>
          <xdr14:nvPr macro=""/>
          <xdr14:xfrm>
            <a:off x="1511280" y="1595880"/>
            <a:ext cx="550800" cy="42840"/>
          </xdr14:xfrm>
        </xdr:contentPart>
      </mc:Choice>
      <mc:Fallback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5633D77C-3B7F-C69F-E0EB-B8B4AF52D6C4}"/>
                </a:ext>
                <a:ext uri="{147F2762-F138-4A5C-976F-8EAC2B608ADB}">
                  <a16:predDERef xmlns:a16="http://schemas.microsoft.com/office/drawing/2014/main" pred="{F94FE53A-DC17-120D-CD8B-A88E32C5AC8C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457280" y="1487880"/>
              <a:ext cx="658440" cy="258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38060</xdr:colOff>
      <xdr:row>6</xdr:row>
      <xdr:rowOff>164880</xdr:rowOff>
    </xdr:from>
    <xdr:to>
      <xdr:col>3</xdr:col>
      <xdr:colOff>53780</xdr:colOff>
      <xdr:row>7</xdr:row>
      <xdr:rowOff>71940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9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91CE85B9-6F79-64EC-0191-18783F2B4FE4}"/>
                </a:ext>
                <a:ext uri="{147F2762-F138-4A5C-976F-8EAC2B608ADB}">
                  <a16:predDERef xmlns:a16="http://schemas.microsoft.com/office/drawing/2014/main" pred="{5633D77C-3B7F-C69F-E0EB-B8B4AF52D6C4}"/>
                </a:ext>
              </a:extLst>
            </xdr14:cNvPr>
            <xdr14:cNvContentPartPr/>
          </xdr14:nvContentPartPr>
          <xdr14:nvPr macro=""/>
          <xdr14:xfrm>
            <a:off x="1422360" y="1307880"/>
            <a:ext cx="625320" cy="97560"/>
          </xdr14:xfrm>
        </xdr:contentPart>
      </mc:Choice>
      <mc:Fallback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91CE85B9-6F79-64EC-0191-18783F2B4FE4}"/>
                </a:ext>
                <a:ext uri="{147F2762-F138-4A5C-976F-8EAC2B608ADB}">
                  <a16:predDERef xmlns:a16="http://schemas.microsoft.com/office/drawing/2014/main" pred="{5633D77C-3B7F-C69F-E0EB-B8B4AF52D6C4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1368360" y="1200240"/>
              <a:ext cx="732960" cy="3132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1.74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1 177,'53'13,"16"-9,6-16,20-8,-41 6,2 0,2 0,2 1,-2 1,1 0,1 1,0 0,-2 1,-2 0,-4 2,-1 1,43-1,-5-3,-12 10,0-4,-17 5,-9 0,-26 0,3 5,-10 2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1.67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0,'62'10,"-1"0,-2-3,0-2,-1-2,1-1,4 0,0 0,0-2,0 1,0 1,0 0,0-1,-1-1,-2 0,-2 0,-5 0,0 0,41 0,-18 0,-26 0,0 0,26 0,1 0,3 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2.47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1,'65'13,"0"0,-9-4,-2-2,46-1,-2-2,-43 0,2 1,2 5,-1 0,0-2,-1 1,-1 4,-2 1,-4-5,0 1,40 13,-12-9,-11-2,-11-5,28-7,-26-11,22-2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2.98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48,'91'6,"-1"-2,-38-3,2 0,4-1,1 0,4 0,1 0,3 0,-1 0,-3 0,-2 0,1 0,-2 0,38 0,-16 0,-23 0,2 0,-18 0,25 0,4 0,17 0,-10-26,-5-7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3.46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71,'50'-10,"1"1,36-3,-1 8,8 4,-39 0,2 0,4 0,0 0,-1 0,0 0,-1 0,0 0,-5 0,-1 0,45 0,-17 0,-7 0,-10 0,16-5,-22 3,-1-3,8-5,-2-3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4.31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0 118,'55'-13,"0"0,3 4,1 2,8 3,2 1,9 2,1-1,1-3,-1-1,1-1,-3-2,-6 2,-2 0,-7 3,-2 0,-8-1,-1 0,4 4,-2 0,28-4,-10 5,-3 12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4.77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0 271,'54'-3,"-1"0,6-1,1 2,0 2,2 0,3-2,3-2,6-1,1-2,0-1,-1-1,-3-2,-1-1,-3 1,-2 1,-5 2,-2 0,-5 0,-2 2,39 2,-13 0,3 4,-7 0,-6-6,-16-5,-28-2,-21-41,-10-3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2.81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0 165,'80'-32,"2"12,4 8,12 4,-1-5,-46 8,0-1,46-9,1 7,-10-2,-5-2,-6 6,9 0,-11 6,-5 0,-14 0,-19-5,-7-1,-18 10,-14 3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3.60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36,'66'-7,"13"2,4 5,16-5,-46 1,0 0,-1 1,0 1,0 0,-2 0,38 1,-2 1,-10 0,10 0,-13 5,3 1,-17 1,-23-2,-19 6,-18 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4.36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0,'39'33,"-1"0,42 19,-6-52,10 0,-2 0,3 0,-2 0,-12 0,20 0,-27 0,10 5,-37 2,27 10,-7 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4.81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0 266,'95'-27,"-40"13,0 1,0 7,0 0,7-4,1-2,6-3,0-1,-3-1,0 1,-3 0,-1 1,-2 0,-1 2,-7 3,-2 1,41-8,-10 5,-25 5,6 23,-20 10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5.64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25,'53'-4,"-1"1,-1 1,0 0,3 1,2 1,4 0,1 0,3 0,1 0,0 0,0 0,-4-2,-1 0,-4 0,-2 0,38-2,-39 4,1 0,32 0,13 0,-11 5,-16-3,-3 3,-26 0,1-4,-14 20,6-1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7.53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1 106,'79'-6,"-4"2,6 1,9-1,-39 2,1-2,5-2,0 0,-1 0,0-1,2-1,-2 0,38-5,-4-2,-23 7,-4 3,-27 5,-7 10,-12 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41.11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83,'61'-23,"0"0,-4 1,-7 7,-15 15,17 0,14 0,6 6,14 0,-8 11,15 1,-9 1,8-2,2-5,2-1,-44-7,0-1,38 7,-2-8,-12 3,-11-5,-1 0,-5 0,0 0,-6 0,-11 0,-8 0,-16 0,-1 0,58 31,15 8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1.11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24,'58'16,"-1"1,37 2,-16-12,4-7,-1 0,13 0,3-2,-46 1,0-2,-1-1,0-3,1-3,0 0,42-3,1 1,-7 4,4 1,-9 1,4 6,-15 0,-21 0,0 0,26 0,12 0,-30 0,-17 0,-18 6,-6 0</inkml:trace>
</inkml: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C8" totalsRowShown="0">
  <autoFilter ref="A4:C8" xr:uid="{00000000-0009-0000-0100-000001000000}"/>
  <tableColumns count="3">
    <tableColumn id="1" xr3:uid="{00000000-0010-0000-0000-000001000000}" name="Years"/>
    <tableColumn id="2" xr3:uid="{00000000-0010-0000-0000-000002000000}" name="Sales"/>
    <tableColumn id="3" xr3:uid="{00000000-0010-0000-0000-000003000000}" name="Growth " dataDxfId="15">
      <calculatedColumnFormula>(B5-B4)/B5*100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12" displayName="Table12" ref="A76:C80" totalsRowShown="0">
  <autoFilter ref="A76:C80" xr:uid="{00000000-0009-0000-0100-00000C000000}"/>
  <tableColumns count="3">
    <tableColumn id="1" xr3:uid="{00000000-0010-0000-0900-000001000000}" name="Years"/>
    <tableColumn id="2" xr3:uid="{00000000-0010-0000-0900-000002000000}" name="Sales"/>
    <tableColumn id="3" xr3:uid="{00000000-0010-0000-0900-000003000000}" name="Growth" dataDxfId="6">
      <calculatedColumnFormula>(B77-B76)/B77*10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e13" displayName="Table13" ref="A84:C88" totalsRowShown="0">
  <autoFilter ref="A84:C88" xr:uid="{00000000-0009-0000-0100-00000D000000}"/>
  <tableColumns count="3">
    <tableColumn id="1" xr3:uid="{00000000-0010-0000-0A00-000001000000}" name="Years "/>
    <tableColumn id="2" xr3:uid="{00000000-0010-0000-0A00-000002000000}" name="Sales"/>
    <tableColumn id="3" xr3:uid="{00000000-0010-0000-0A00-000003000000}" name="Growth" dataDxfId="5">
      <calculatedColumnFormula>(B85-B84)/B85*100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Table14" displayName="Table14" ref="A92:C96" totalsRowShown="0">
  <autoFilter ref="A92:C96" xr:uid="{00000000-0009-0000-0100-00000E000000}"/>
  <tableColumns count="3">
    <tableColumn id="1" xr3:uid="{00000000-0010-0000-0B00-000001000000}" name="Years"/>
    <tableColumn id="2" xr3:uid="{00000000-0010-0000-0B00-000002000000}" name="Sales "/>
    <tableColumn id="3" xr3:uid="{00000000-0010-0000-0B00-000003000000}" name="Growth" dataDxfId="4">
      <calculatedColumnFormula>(B93-B92)/B93*100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Table15" displayName="Table15" ref="A100:C104" totalsRowShown="0">
  <autoFilter ref="A100:C104" xr:uid="{00000000-0009-0000-0100-00000F000000}"/>
  <tableColumns count="3">
    <tableColumn id="1" xr3:uid="{00000000-0010-0000-0C00-000001000000}" name="Years"/>
    <tableColumn id="2" xr3:uid="{00000000-0010-0000-0C00-000002000000}" name="Sales"/>
    <tableColumn id="3" xr3:uid="{00000000-0010-0000-0C00-000003000000}" name="Growth " dataDxfId="3">
      <calculatedColumnFormula>(B101-B100)/B101*100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Table16" displayName="Table16" ref="A5:C9" totalsRowShown="0">
  <autoFilter ref="A5:C9" xr:uid="{00000000-0009-0000-0100-000010000000}"/>
  <tableColumns count="3">
    <tableColumn id="1" xr3:uid="{00000000-0010-0000-0D00-000001000000}" name="Year"/>
    <tableColumn id="2" xr3:uid="{00000000-0010-0000-0D00-000002000000}" name="Sales"/>
    <tableColumn id="3" xr3:uid="{00000000-0010-0000-0D00-000003000000}" name="Growth" dataDxfId="2">
      <calculatedColumnFormula>(B6-B5)/B6*100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Table1618" displayName="Table1618" ref="A12:C16" totalsRowShown="0">
  <autoFilter ref="A12:C16" xr:uid="{00000000-0009-0000-0100-000011000000}"/>
  <tableColumns count="3">
    <tableColumn id="1" xr3:uid="{00000000-0010-0000-0E00-000001000000}" name="Year"/>
    <tableColumn id="2" xr3:uid="{00000000-0010-0000-0E00-000002000000}" name="Sales"/>
    <tableColumn id="3" xr3:uid="{00000000-0010-0000-0E00-000003000000}" name="Growth" dataDxfId="1">
      <calculatedColumnFormula>(B13-B12)/B13*100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Table161819" displayName="Table161819" ref="A21:C25" totalsRowShown="0">
  <autoFilter ref="A21:C25" xr:uid="{00000000-0009-0000-0100-000012000000}"/>
  <tableColumns count="3">
    <tableColumn id="1" xr3:uid="{00000000-0010-0000-0F00-000001000000}" name="Year"/>
    <tableColumn id="2" xr3:uid="{00000000-0010-0000-0F00-000002000000}" name="Sales"/>
    <tableColumn id="3" xr3:uid="{00000000-0010-0000-0F00-000003000000}" name="Growth" dataDxfId="0">
      <calculatedColumnFormula>(B22-B21)/B22*100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Table161820" displayName="Table161820" ref="A30:C34" totalsRowShown="0">
  <autoFilter ref="A30:C34" xr:uid="{00000000-0009-0000-0100-000013000000}"/>
  <tableColumns count="3">
    <tableColumn id="1" xr3:uid="{00000000-0010-0000-1000-000001000000}" name="Year"/>
    <tableColumn id="2" xr3:uid="{00000000-0010-0000-1000-000002000000}" name="Sales"/>
    <tableColumn id="3" xr3:uid="{00000000-0010-0000-1000-000003000000}" name="Growth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1000000}" name="Table16182021" displayName="Table16182021" ref="A39:C43" totalsRowShown="0">
  <autoFilter ref="A39:C43" xr:uid="{00000000-0009-0000-0100-000014000000}"/>
  <tableColumns count="3">
    <tableColumn id="1" xr3:uid="{00000000-0010-0000-1100-000001000000}" name="Year"/>
    <tableColumn id="2" xr3:uid="{00000000-0010-0000-1100-000002000000}" name="Sales"/>
    <tableColumn id="3" xr3:uid="{00000000-0010-0000-1100-000003000000}" name="Growth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12:C16" totalsRowShown="0">
  <autoFilter ref="A12:C16" xr:uid="{00000000-0009-0000-0100-000004000000}"/>
  <tableColumns count="3">
    <tableColumn id="1" xr3:uid="{00000000-0010-0000-0100-000001000000}" name="Years"/>
    <tableColumn id="2" xr3:uid="{00000000-0010-0000-0100-000002000000}" name="Sales"/>
    <tableColumn id="3" xr3:uid="{00000000-0010-0000-0100-000003000000}" name="Growth" dataDxfId="14">
      <calculatedColumnFormula>(B13-B12)/B13*100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0:C24" totalsRowShown="0">
  <autoFilter ref="A20:C24" xr:uid="{00000000-0009-0000-0100-000005000000}"/>
  <tableColumns count="3">
    <tableColumn id="1" xr3:uid="{00000000-0010-0000-0200-000001000000}" name="Years"/>
    <tableColumn id="2" xr3:uid="{00000000-0010-0000-0200-000002000000}" name="Sales "/>
    <tableColumn id="3" xr3:uid="{00000000-0010-0000-0200-000003000000}" name="Growth " dataDxfId="13">
      <calculatedColumnFormula>(B21-B20)/B21*100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8:C32" totalsRowShown="0">
  <autoFilter ref="A28:C32" xr:uid="{00000000-0009-0000-0100-000006000000}"/>
  <tableColumns count="3">
    <tableColumn id="1" xr3:uid="{00000000-0010-0000-0300-000001000000}" name="Years"/>
    <tableColumn id="2" xr3:uid="{00000000-0010-0000-0300-000002000000}" name="Sales"/>
    <tableColumn id="3" xr3:uid="{00000000-0010-0000-0300-000003000000}" name="Growth " dataDxfId="12">
      <calculatedColumnFormula>(B29-B28)/B29*100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36:C40" totalsRowShown="0">
  <autoFilter ref="A36:C40" xr:uid="{00000000-0009-0000-0100-000007000000}"/>
  <tableColumns count="3">
    <tableColumn id="1" xr3:uid="{00000000-0010-0000-0400-000001000000}" name="Years"/>
    <tableColumn id="2" xr3:uid="{00000000-0010-0000-0400-000002000000}" name="Sales"/>
    <tableColumn id="3" xr3:uid="{00000000-0010-0000-0400-000003000000}" name="Growth" dataDxfId="11">
      <calculatedColumnFormula>(B37-B36)/B37*100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e8" displayName="Table8" ref="A44:C48" totalsRowShown="0">
  <autoFilter ref="A44:C48" xr:uid="{00000000-0009-0000-0100-000008000000}"/>
  <tableColumns count="3">
    <tableColumn id="1" xr3:uid="{00000000-0010-0000-0500-000001000000}" name="Years"/>
    <tableColumn id="2" xr3:uid="{00000000-0010-0000-0500-000002000000}" name="Sales"/>
    <tableColumn id="3" xr3:uid="{00000000-0010-0000-0500-000003000000}" name="Growth" dataDxfId="10">
      <calculatedColumnFormula>(B45-B44)/B45*100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A52:C56" totalsRowShown="0">
  <autoFilter ref="A52:C56" xr:uid="{00000000-0009-0000-0100-000009000000}"/>
  <tableColumns count="3">
    <tableColumn id="1" xr3:uid="{00000000-0010-0000-0600-000001000000}" name="Years"/>
    <tableColumn id="2" xr3:uid="{00000000-0010-0000-0600-000002000000}" name="Sales"/>
    <tableColumn id="3" xr3:uid="{00000000-0010-0000-0600-000003000000}" name="Growth " dataDxfId="9">
      <calculatedColumnFormula>(B53-B52)/B53*100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60:C64" totalsRowShown="0">
  <autoFilter ref="A60:C64" xr:uid="{00000000-0009-0000-0100-00000A000000}"/>
  <tableColumns count="3">
    <tableColumn id="1" xr3:uid="{00000000-0010-0000-0700-000001000000}" name="Years"/>
    <tableColumn id="2" xr3:uid="{00000000-0010-0000-0700-000002000000}" name="Sales"/>
    <tableColumn id="3" xr3:uid="{00000000-0010-0000-0700-000003000000}" name="Growth " dataDxfId="8">
      <calculatedColumnFormula>(B61-B60)/B61*100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11" displayName="Table11" ref="A68:C72" totalsRowShown="0">
  <autoFilter ref="A68:C72" xr:uid="{00000000-0009-0000-0100-00000B000000}"/>
  <tableColumns count="3">
    <tableColumn id="1" xr3:uid="{00000000-0010-0000-0800-000001000000}" name="Years"/>
    <tableColumn id="2" xr3:uid="{00000000-0010-0000-0800-000002000000}" name="Sales"/>
    <tableColumn id="3" xr3:uid="{00000000-0010-0000-0800-000003000000}" name="Growth " dataDxfId="7">
      <calculatedColumnFormula>(B69-B68)/B69*100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drawing" Target="../drawings/drawing1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15" sqref="A15"/>
    </sheetView>
  </sheetViews>
  <sheetFormatPr defaultRowHeight="15" x14ac:dyDescent="0.2"/>
  <cols>
    <col min="1" max="1" width="104.5234375" customWidth="1"/>
  </cols>
  <sheetData>
    <row r="1" spans="1:1" ht="23.25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48" zoomScale="81" workbookViewId="0">
      <selection activeCell="D54" sqref="D54"/>
    </sheetView>
  </sheetViews>
  <sheetFormatPr defaultRowHeight="15" x14ac:dyDescent="0.2"/>
  <cols>
    <col min="1" max="1" width="59.0546875" customWidth="1"/>
    <col min="2" max="3" width="11.56640625" bestFit="1" customWidth="1"/>
    <col min="4" max="4" width="11.7031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7" t="s">
        <v>1</v>
      </c>
      <c r="B2" s="27"/>
      <c r="C2" s="27"/>
      <c r="D2" s="27"/>
    </row>
    <row r="3" spans="1:10" x14ac:dyDescent="0.2">
      <c r="B3" s="26" t="s">
        <v>23</v>
      </c>
      <c r="C3" s="26"/>
      <c r="D3" s="26"/>
    </row>
    <row r="4" spans="1:10" x14ac:dyDescent="0.2">
      <c r="B4" s="7">
        <v>2022</v>
      </c>
      <c r="C4" s="7">
        <v>2021</v>
      </c>
      <c r="D4" s="7">
        <v>2020</v>
      </c>
      <c r="E4" s="7">
        <v>2019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  <c r="E6" s="2">
        <v>213883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  <c r="E7" s="2">
        <v>46291</v>
      </c>
    </row>
    <row r="8" spans="1:10" x14ac:dyDescent="0.2">
      <c r="A8" s="8" t="s">
        <v>6</v>
      </c>
      <c r="B8" s="13">
        <f>+B6+B7</f>
        <v>394328</v>
      </c>
      <c r="C8" s="13">
        <f t="shared" ref="C8:E8" si="0">+C6+C7</f>
        <v>365817</v>
      </c>
      <c r="D8" s="13">
        <f t="shared" si="0"/>
        <v>274515</v>
      </c>
      <c r="E8" s="13">
        <f t="shared" si="0"/>
        <v>260174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  <c r="E10" s="2">
        <v>144996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  <c r="E11" s="2">
        <v>16786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E12" s="13">
        <f t="shared" ref="E12" si="2">+E10+E11</f>
        <v>161782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3">+C8-C12</f>
        <v>152836</v>
      </c>
      <c r="D13" s="13">
        <f t="shared" si="3"/>
        <v>104956</v>
      </c>
      <c r="E13" s="13">
        <f t="shared" ref="E13" si="4">+E8-E12</f>
        <v>98392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  <c r="E15" s="2">
        <v>16217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  <c r="E16" s="2">
        <v>18245</v>
      </c>
    </row>
    <row r="17" spans="1:5" x14ac:dyDescent="0.2">
      <c r="A17" s="8" t="s">
        <v>13</v>
      </c>
      <c r="B17" s="13">
        <f>+B15+B16</f>
        <v>51345</v>
      </c>
      <c r="C17" s="13">
        <f t="shared" ref="C17" si="5">+C15+C16</f>
        <v>43887</v>
      </c>
      <c r="D17" s="13">
        <f t="shared" ref="D17:E17" si="6">+D15+D16</f>
        <v>38668</v>
      </c>
      <c r="E17" s="13">
        <f t="shared" si="6"/>
        <v>34462</v>
      </c>
    </row>
    <row r="18" spans="1:5" s="7" customFormat="1" x14ac:dyDescent="0.2">
      <c r="A18" s="8" t="s">
        <v>14</v>
      </c>
      <c r="B18" s="13">
        <f>+B13-B17</f>
        <v>119437</v>
      </c>
      <c r="C18" s="13">
        <f t="shared" ref="C18:D18" si="7">+C13-C17</f>
        <v>108949</v>
      </c>
      <c r="D18" s="13">
        <f t="shared" si="7"/>
        <v>66288</v>
      </c>
      <c r="E18" s="13">
        <f t="shared" ref="E18" si="8">+E13-E17</f>
        <v>63930</v>
      </c>
    </row>
    <row r="19" spans="1:5" x14ac:dyDescent="0.2">
      <c r="A19" t="s">
        <v>15</v>
      </c>
      <c r="B19" s="12">
        <v>-334</v>
      </c>
      <c r="C19" s="12">
        <v>258</v>
      </c>
      <c r="D19" s="12">
        <v>803</v>
      </c>
      <c r="E19" s="2">
        <v>1807</v>
      </c>
    </row>
    <row r="20" spans="1:5" x14ac:dyDescent="0.2">
      <c r="A20" s="8" t="s">
        <v>16</v>
      </c>
      <c r="B20" s="13">
        <f>+B18+B19</f>
        <v>119103</v>
      </c>
      <c r="C20" s="13">
        <f t="shared" ref="C20:E20" si="9">+C18+C19</f>
        <v>109207</v>
      </c>
      <c r="D20" s="13">
        <f t="shared" si="9"/>
        <v>67091</v>
      </c>
      <c r="E20" s="13">
        <f t="shared" si="9"/>
        <v>65737</v>
      </c>
    </row>
    <row r="21" spans="1:5" x14ac:dyDescent="0.2">
      <c r="A21" t="s">
        <v>17</v>
      </c>
      <c r="B21" s="12">
        <v>19300</v>
      </c>
      <c r="C21" s="12">
        <v>14527</v>
      </c>
      <c r="D21" s="12">
        <v>9680</v>
      </c>
      <c r="E21" s="2">
        <v>10481</v>
      </c>
    </row>
    <row r="22" spans="1:5" ht="15.75" thickBot="1" x14ac:dyDescent="0.25">
      <c r="A22" s="9" t="s">
        <v>18</v>
      </c>
      <c r="B22" s="14">
        <f>+B20-B21</f>
        <v>99803</v>
      </c>
      <c r="C22" s="14">
        <f t="shared" ref="C22:E22" si="10">+C20-C21</f>
        <v>94680</v>
      </c>
      <c r="D22" s="14">
        <f t="shared" si="10"/>
        <v>57411</v>
      </c>
      <c r="E22" s="14">
        <f t="shared" si="10"/>
        <v>55256</v>
      </c>
    </row>
    <row r="23" spans="1:5" ht="15.75" thickTop="1" x14ac:dyDescent="0.2">
      <c r="A23" t="s">
        <v>19</v>
      </c>
    </row>
    <row r="24" spans="1:5" x14ac:dyDescent="0.2">
      <c r="A24" s="1" t="s">
        <v>20</v>
      </c>
      <c r="B24" s="10">
        <v>6.15</v>
      </c>
      <c r="C24" s="10">
        <v>5.67</v>
      </c>
      <c r="D24" s="10">
        <v>3.31</v>
      </c>
      <c r="E24" s="10">
        <v>11.97</v>
      </c>
    </row>
    <row r="25" spans="1:5" x14ac:dyDescent="0.2">
      <c r="A25" s="1" t="s">
        <v>21</v>
      </c>
      <c r="B25" s="10">
        <v>6.11</v>
      </c>
      <c r="C25" s="10">
        <v>5.61</v>
      </c>
      <c r="D25" s="10">
        <v>3.28</v>
      </c>
      <c r="E25" s="10">
        <v>11.89</v>
      </c>
    </row>
    <row r="26" spans="1:5" x14ac:dyDescent="0.2">
      <c r="A26" t="s">
        <v>22</v>
      </c>
    </row>
    <row r="27" spans="1:5" x14ac:dyDescent="0.2">
      <c r="A27" s="1" t="s">
        <v>20</v>
      </c>
      <c r="B27" s="2">
        <v>16215963</v>
      </c>
      <c r="C27" s="2">
        <v>16701272</v>
      </c>
      <c r="D27" s="2">
        <v>17352119</v>
      </c>
      <c r="E27" s="2">
        <v>4617834</v>
      </c>
    </row>
    <row r="28" spans="1:5" x14ac:dyDescent="0.2">
      <c r="A28" s="1" t="s">
        <v>21</v>
      </c>
      <c r="B28" s="2">
        <v>16325819</v>
      </c>
      <c r="C28" s="2">
        <v>16864919</v>
      </c>
      <c r="D28" s="2">
        <v>17528214</v>
      </c>
      <c r="E28" s="2">
        <v>4648913</v>
      </c>
    </row>
    <row r="31" spans="1:5" x14ac:dyDescent="0.2">
      <c r="A31" s="27" t="s">
        <v>24</v>
      </c>
      <c r="B31" s="27"/>
      <c r="C31" s="27"/>
      <c r="D31" s="27"/>
    </row>
    <row r="32" spans="1:5" x14ac:dyDescent="0.2">
      <c r="B32" s="26" t="s">
        <v>142</v>
      </c>
      <c r="C32" s="26"/>
      <c r="D32" s="26"/>
    </row>
    <row r="33" spans="1:5" x14ac:dyDescent="0.2">
      <c r="B33" s="7">
        <f>+B4</f>
        <v>2022</v>
      </c>
      <c r="C33" s="7">
        <f t="shared" ref="C33:D33" si="11">+C4</f>
        <v>2021</v>
      </c>
      <c r="D33" s="7">
        <f t="shared" si="11"/>
        <v>2020</v>
      </c>
      <c r="E33" s="7">
        <v>2019</v>
      </c>
    </row>
    <row r="35" spans="1:5" x14ac:dyDescent="0.2">
      <c r="A35" t="s">
        <v>25</v>
      </c>
    </row>
    <row r="36" spans="1:5" x14ac:dyDescent="0.2">
      <c r="A36" s="1" t="s">
        <v>26</v>
      </c>
      <c r="B36" s="12">
        <v>23646</v>
      </c>
      <c r="C36" s="12">
        <v>34940</v>
      </c>
      <c r="D36" s="12">
        <v>38016</v>
      </c>
      <c r="E36" s="2">
        <v>48844</v>
      </c>
    </row>
    <row r="37" spans="1:5" x14ac:dyDescent="0.2">
      <c r="A37" s="1" t="s">
        <v>27</v>
      </c>
      <c r="B37" s="12">
        <v>24658</v>
      </c>
      <c r="C37" s="12">
        <v>27699</v>
      </c>
      <c r="D37" s="12">
        <v>52927</v>
      </c>
      <c r="E37" s="2">
        <v>51713</v>
      </c>
    </row>
    <row r="38" spans="1:5" x14ac:dyDescent="0.2">
      <c r="A38" s="1" t="s">
        <v>28</v>
      </c>
      <c r="B38" s="12">
        <v>28184</v>
      </c>
      <c r="C38" s="12">
        <v>26278</v>
      </c>
      <c r="D38" s="12">
        <v>16120</v>
      </c>
      <c r="E38" s="2">
        <v>22926</v>
      </c>
    </row>
    <row r="39" spans="1:5" x14ac:dyDescent="0.2">
      <c r="A39" s="1" t="s">
        <v>29</v>
      </c>
      <c r="B39" s="12">
        <v>4946</v>
      </c>
      <c r="C39" s="12">
        <v>6580</v>
      </c>
      <c r="D39" s="12">
        <v>4061</v>
      </c>
      <c r="E39" s="2">
        <v>4106</v>
      </c>
    </row>
    <row r="40" spans="1:5" x14ac:dyDescent="0.2">
      <c r="A40" s="1" t="s">
        <v>47</v>
      </c>
      <c r="B40" s="12">
        <v>32748</v>
      </c>
      <c r="C40" s="12">
        <v>25228</v>
      </c>
      <c r="D40" s="12">
        <v>21325</v>
      </c>
      <c r="E40" s="2">
        <v>22878</v>
      </c>
    </row>
    <row r="41" spans="1:5" x14ac:dyDescent="0.2">
      <c r="A41" s="1" t="s">
        <v>30</v>
      </c>
      <c r="B41" s="12">
        <v>21223</v>
      </c>
      <c r="C41" s="12">
        <v>14111</v>
      </c>
      <c r="D41" s="12">
        <v>11264</v>
      </c>
      <c r="E41" s="2">
        <v>12352</v>
      </c>
    </row>
    <row r="42" spans="1:5" x14ac:dyDescent="0.2">
      <c r="A42" s="8" t="s">
        <v>31</v>
      </c>
      <c r="B42" s="13">
        <f>+SUM(B36:B41)</f>
        <v>135405</v>
      </c>
      <c r="C42" s="13">
        <f t="shared" ref="C42:E42" si="12">+SUM(C36:C41)</f>
        <v>134836</v>
      </c>
      <c r="D42" s="13">
        <f t="shared" si="12"/>
        <v>143713</v>
      </c>
      <c r="E42" s="13">
        <f t="shared" si="12"/>
        <v>162819</v>
      </c>
    </row>
    <row r="43" spans="1:5" x14ac:dyDescent="0.2">
      <c r="A43" t="s">
        <v>48</v>
      </c>
      <c r="B43" s="12"/>
      <c r="C43" s="12"/>
      <c r="D43" s="12"/>
    </row>
    <row r="44" spans="1:5" x14ac:dyDescent="0.2">
      <c r="A44" s="1" t="s">
        <v>27</v>
      </c>
      <c r="B44" s="12">
        <v>120805</v>
      </c>
      <c r="C44" s="12">
        <v>127877</v>
      </c>
      <c r="D44" s="12">
        <v>100887</v>
      </c>
      <c r="E44" s="2">
        <v>105341</v>
      </c>
    </row>
    <row r="45" spans="1:5" x14ac:dyDescent="0.2">
      <c r="A45" s="1" t="s">
        <v>32</v>
      </c>
      <c r="B45" s="12">
        <v>42117</v>
      </c>
      <c r="C45" s="12">
        <v>39440</v>
      </c>
      <c r="D45" s="12">
        <v>36766</v>
      </c>
      <c r="E45" s="2">
        <v>37378</v>
      </c>
    </row>
    <row r="46" spans="1:5" x14ac:dyDescent="0.2">
      <c r="A46" s="1" t="s">
        <v>49</v>
      </c>
      <c r="B46" s="12">
        <v>54428</v>
      </c>
      <c r="C46" s="12">
        <v>48849</v>
      </c>
      <c r="D46" s="12">
        <v>42522</v>
      </c>
      <c r="E46" s="2">
        <v>32978</v>
      </c>
    </row>
    <row r="47" spans="1:5" x14ac:dyDescent="0.2">
      <c r="A47" s="8" t="s">
        <v>50</v>
      </c>
      <c r="B47" s="13">
        <f>+SUM(B44:B46)</f>
        <v>217350</v>
      </c>
      <c r="C47" s="13">
        <f t="shared" ref="C47:D47" si="13">+SUM(C44:C46)</f>
        <v>216166</v>
      </c>
      <c r="D47" s="13">
        <f t="shared" si="13"/>
        <v>180175</v>
      </c>
      <c r="E47" s="13">
        <f t="shared" ref="E47" si="14">+SUM(E44:E46)</f>
        <v>175697</v>
      </c>
    </row>
    <row r="48" spans="1:5" ht="15.75" thickBot="1" x14ac:dyDescent="0.25">
      <c r="A48" s="9" t="s">
        <v>33</v>
      </c>
      <c r="B48" s="14">
        <f>+B42+B47</f>
        <v>352755</v>
      </c>
      <c r="C48" s="14">
        <f t="shared" ref="C48:D48" si="15">+C42+C47</f>
        <v>351002</v>
      </c>
      <c r="D48" s="14">
        <f t="shared" si="15"/>
        <v>323888</v>
      </c>
      <c r="E48" s="14">
        <f t="shared" ref="E48" si="16">+E42+E47</f>
        <v>338516</v>
      </c>
    </row>
    <row r="49" spans="1:5" ht="15.75" thickTop="1" x14ac:dyDescent="0.2"/>
    <row r="50" spans="1:5" x14ac:dyDescent="0.2">
      <c r="A50" t="s">
        <v>34</v>
      </c>
    </row>
    <row r="51" spans="1:5" x14ac:dyDescent="0.2">
      <c r="A51" s="1" t="s">
        <v>35</v>
      </c>
      <c r="B51" s="12">
        <v>64115</v>
      </c>
      <c r="C51" s="12">
        <v>54763</v>
      </c>
      <c r="D51" s="12">
        <v>42296</v>
      </c>
      <c r="E51" s="2">
        <v>46236</v>
      </c>
    </row>
    <row r="52" spans="1:5" x14ac:dyDescent="0.2">
      <c r="A52" s="1" t="s">
        <v>36</v>
      </c>
      <c r="B52" s="12">
        <v>60845</v>
      </c>
      <c r="C52" s="12">
        <v>47493</v>
      </c>
      <c r="D52" s="12">
        <v>42684</v>
      </c>
      <c r="E52" s="2">
        <v>37720</v>
      </c>
    </row>
    <row r="53" spans="1:5" x14ac:dyDescent="0.2">
      <c r="A53" s="1" t="s">
        <v>37</v>
      </c>
      <c r="B53" s="12">
        <v>7912</v>
      </c>
      <c r="C53" s="12">
        <v>7612</v>
      </c>
      <c r="D53" s="12">
        <v>6643</v>
      </c>
      <c r="E53" s="2">
        <v>5522</v>
      </c>
    </row>
    <row r="54" spans="1:5" x14ac:dyDescent="0.2">
      <c r="A54" s="1" t="s">
        <v>38</v>
      </c>
      <c r="B54" s="12">
        <v>9982</v>
      </c>
      <c r="C54" s="12">
        <v>6000</v>
      </c>
      <c r="D54" s="12">
        <v>4996</v>
      </c>
      <c r="E54" s="2">
        <v>5980</v>
      </c>
    </row>
    <row r="55" spans="1:5" x14ac:dyDescent="0.2">
      <c r="A55" s="1" t="s">
        <v>39</v>
      </c>
      <c r="B55" s="12">
        <v>11128</v>
      </c>
      <c r="C55" s="12">
        <v>9613</v>
      </c>
      <c r="D55" s="12">
        <v>8773</v>
      </c>
      <c r="E55" s="2">
        <v>10260</v>
      </c>
    </row>
    <row r="56" spans="1:5" x14ac:dyDescent="0.2">
      <c r="A56" s="8" t="s">
        <v>40</v>
      </c>
      <c r="B56" s="13">
        <f>+SUM(B51:B55)</f>
        <v>153982</v>
      </c>
      <c r="C56" s="13">
        <f t="shared" ref="C56:E56" si="17">+SUM(C51:C55)</f>
        <v>125481</v>
      </c>
      <c r="D56" s="13">
        <f t="shared" si="17"/>
        <v>105392</v>
      </c>
      <c r="E56" s="13">
        <f t="shared" si="17"/>
        <v>105718</v>
      </c>
    </row>
    <row r="57" spans="1:5" x14ac:dyDescent="0.2">
      <c r="A57" t="s">
        <v>51</v>
      </c>
      <c r="B57" s="12"/>
      <c r="C57" s="12"/>
      <c r="D57" s="12"/>
    </row>
    <row r="58" spans="1:5" x14ac:dyDescent="0.2">
      <c r="A58" s="1" t="s">
        <v>37</v>
      </c>
      <c r="B58" s="12"/>
      <c r="C58" s="12"/>
      <c r="D58" s="12"/>
    </row>
    <row r="59" spans="1:5" x14ac:dyDescent="0.2">
      <c r="A59" s="1" t="s">
        <v>39</v>
      </c>
      <c r="B59" s="12">
        <v>98959</v>
      </c>
      <c r="C59" s="12">
        <v>109106</v>
      </c>
      <c r="D59" s="12">
        <v>98667</v>
      </c>
      <c r="E59" s="2">
        <v>91807</v>
      </c>
    </row>
    <row r="60" spans="1:5" x14ac:dyDescent="0.2">
      <c r="A60" s="1" t="s">
        <v>52</v>
      </c>
      <c r="B60" s="12">
        <v>49142</v>
      </c>
      <c r="C60" s="12">
        <v>53325</v>
      </c>
      <c r="D60" s="12">
        <v>54490</v>
      </c>
      <c r="E60" s="2">
        <v>50503</v>
      </c>
    </row>
    <row r="61" spans="1:5" x14ac:dyDescent="0.2">
      <c r="A61" s="22" t="s">
        <v>53</v>
      </c>
      <c r="B61" s="21">
        <f>+B59+B60</f>
        <v>148101</v>
      </c>
      <c r="C61" s="21">
        <f t="shared" ref="C61:D61" si="18">+C59+C60</f>
        <v>162431</v>
      </c>
      <c r="D61" s="21">
        <f t="shared" si="18"/>
        <v>153157</v>
      </c>
      <c r="E61" s="21">
        <f t="shared" ref="E61" si="19">+E59+E60</f>
        <v>142310</v>
      </c>
    </row>
    <row r="62" spans="1:5" x14ac:dyDescent="0.2">
      <c r="A62" s="8" t="s">
        <v>41</v>
      </c>
      <c r="B62" s="13">
        <f>+B56+B61</f>
        <v>302083</v>
      </c>
      <c r="C62" s="13">
        <f t="shared" ref="C62:D62" si="20">+C56+C61</f>
        <v>287912</v>
      </c>
      <c r="D62" s="13">
        <f t="shared" si="20"/>
        <v>258549</v>
      </c>
      <c r="E62" s="13">
        <f t="shared" ref="E62" si="21">+E56+E61</f>
        <v>248028</v>
      </c>
    </row>
    <row r="63" spans="1:5" x14ac:dyDescent="0.2">
      <c r="B63" s="12"/>
      <c r="C63" s="12"/>
      <c r="D63" s="12"/>
    </row>
    <row r="64" spans="1:5" x14ac:dyDescent="0.2">
      <c r="A64" t="s">
        <v>42</v>
      </c>
      <c r="B64" s="12"/>
      <c r="C64" s="12"/>
      <c r="D64" s="12"/>
    </row>
    <row r="65" spans="1:5" x14ac:dyDescent="0.2">
      <c r="A65" s="1" t="s">
        <v>54</v>
      </c>
      <c r="B65" s="12">
        <v>64849</v>
      </c>
      <c r="C65" s="12">
        <v>57365</v>
      </c>
      <c r="D65" s="12">
        <v>50779</v>
      </c>
      <c r="E65" s="2">
        <v>45174</v>
      </c>
    </row>
    <row r="66" spans="1:5" x14ac:dyDescent="0.2">
      <c r="A66" s="1" t="s">
        <v>43</v>
      </c>
      <c r="B66" s="12">
        <v>-3068</v>
      </c>
      <c r="C66" s="12">
        <v>5562</v>
      </c>
      <c r="D66" s="12">
        <v>14966</v>
      </c>
      <c r="E66" s="2">
        <v>45898</v>
      </c>
    </row>
    <row r="67" spans="1:5" x14ac:dyDescent="0.2">
      <c r="A67" s="1" t="s">
        <v>44</v>
      </c>
      <c r="B67" s="12">
        <v>-11109</v>
      </c>
      <c r="C67" s="12">
        <v>163</v>
      </c>
      <c r="D67" s="12">
        <v>-406</v>
      </c>
      <c r="E67" s="12">
        <v>-584</v>
      </c>
    </row>
    <row r="68" spans="1:5" x14ac:dyDescent="0.2">
      <c r="A68" s="8" t="s">
        <v>45</v>
      </c>
      <c r="B68" s="13">
        <f>+SUM(B65:B67)</f>
        <v>50672</v>
      </c>
      <c r="C68" s="13">
        <f t="shared" ref="C68:D68" si="22">+SUM(C65:C67)</f>
        <v>63090</v>
      </c>
      <c r="D68" s="13">
        <f t="shared" si="22"/>
        <v>65339</v>
      </c>
      <c r="E68" s="13">
        <f t="shared" ref="E68" si="23">+SUM(E65:E67)</f>
        <v>90488</v>
      </c>
    </row>
    <row r="69" spans="1:5" ht="15.75" thickBot="1" x14ac:dyDescent="0.25">
      <c r="A69" s="9" t="s">
        <v>46</v>
      </c>
      <c r="B69" s="14">
        <f>+B68+B62</f>
        <v>352755</v>
      </c>
      <c r="C69" s="14">
        <f t="shared" ref="C69:D69" si="24">+C68+C62</f>
        <v>351002</v>
      </c>
      <c r="D69" s="14">
        <f t="shared" si="24"/>
        <v>323888</v>
      </c>
      <c r="E69" s="14">
        <f t="shared" ref="E69" si="25">+E68+E62</f>
        <v>338516</v>
      </c>
    </row>
    <row r="70" spans="1:5" ht="15.75" thickTop="1" x14ac:dyDescent="0.2"/>
    <row r="71" spans="1:5" x14ac:dyDescent="0.2">
      <c r="A71" s="27" t="s">
        <v>55</v>
      </c>
      <c r="B71" s="27"/>
      <c r="C71" s="27"/>
      <c r="D71" s="27"/>
    </row>
    <row r="72" spans="1:5" x14ac:dyDescent="0.2">
      <c r="B72" s="26" t="s">
        <v>23</v>
      </c>
      <c r="C72" s="26"/>
      <c r="D72" s="26"/>
    </row>
    <row r="73" spans="1:5" x14ac:dyDescent="0.2">
      <c r="B73" s="7">
        <f>+B33</f>
        <v>2022</v>
      </c>
      <c r="C73" s="7">
        <f t="shared" ref="C73:D73" si="26">+C33</f>
        <v>2021</v>
      </c>
      <c r="D73" s="7">
        <f t="shared" si="26"/>
        <v>2020</v>
      </c>
      <c r="E73" s="7">
        <v>2019</v>
      </c>
    </row>
    <row r="75" spans="1:5" x14ac:dyDescent="0.2">
      <c r="A75" s="7" t="s">
        <v>56</v>
      </c>
      <c r="B75" s="15"/>
      <c r="C75" s="15"/>
      <c r="D75" s="15"/>
    </row>
    <row r="76" spans="1:5" x14ac:dyDescent="0.2">
      <c r="A76" t="s">
        <v>57</v>
      </c>
      <c r="B76" s="12">
        <f>+B22</f>
        <v>99803</v>
      </c>
      <c r="C76" s="12">
        <f t="shared" ref="C76:D76" si="27">+C22</f>
        <v>94680</v>
      </c>
      <c r="D76" s="12">
        <f t="shared" si="27"/>
        <v>57411</v>
      </c>
      <c r="E76" s="2">
        <v>55256</v>
      </c>
    </row>
    <row r="77" spans="1:5" x14ac:dyDescent="0.2">
      <c r="A77" s="11" t="s">
        <v>18</v>
      </c>
      <c r="B77" s="15"/>
      <c r="C77" s="15"/>
      <c r="D77" s="15"/>
    </row>
    <row r="78" spans="1:5" x14ac:dyDescent="0.2">
      <c r="A78" s="1" t="s">
        <v>58</v>
      </c>
      <c r="B78" s="12"/>
      <c r="C78" s="12"/>
      <c r="D78" s="12"/>
    </row>
    <row r="79" spans="1:5" x14ac:dyDescent="0.2">
      <c r="A79" s="3" t="s">
        <v>59</v>
      </c>
      <c r="B79" s="12">
        <v>11104</v>
      </c>
      <c r="C79" s="12">
        <v>11284</v>
      </c>
      <c r="D79" s="12">
        <v>11056</v>
      </c>
      <c r="E79" s="2">
        <v>12547</v>
      </c>
    </row>
    <row r="80" spans="1:5" x14ac:dyDescent="0.2">
      <c r="A80" s="3" t="s">
        <v>83</v>
      </c>
      <c r="B80" s="12">
        <v>9038</v>
      </c>
      <c r="C80" s="12">
        <v>7906</v>
      </c>
      <c r="D80" s="12">
        <v>6829</v>
      </c>
      <c r="E80" s="2">
        <v>6068</v>
      </c>
    </row>
    <row r="81" spans="1:5" x14ac:dyDescent="0.2">
      <c r="A81" s="3" t="s">
        <v>60</v>
      </c>
      <c r="B81" s="12">
        <v>895</v>
      </c>
      <c r="C81" s="12">
        <v>-4774</v>
      </c>
      <c r="D81" s="12">
        <v>-215</v>
      </c>
      <c r="E81" s="2">
        <v>-340</v>
      </c>
    </row>
    <row r="82" spans="1:5" x14ac:dyDescent="0.2">
      <c r="A82" s="3" t="s">
        <v>61</v>
      </c>
      <c r="B82" s="12">
        <v>111</v>
      </c>
      <c r="C82" s="12">
        <v>-147</v>
      </c>
      <c r="D82" s="12">
        <v>-97</v>
      </c>
      <c r="E82" s="2">
        <v>-652</v>
      </c>
    </row>
    <row r="83" spans="1:5" x14ac:dyDescent="0.2">
      <c r="A83" t="s">
        <v>62</v>
      </c>
      <c r="B83" s="12"/>
      <c r="C83" s="12"/>
      <c r="D83" s="12"/>
    </row>
    <row r="84" spans="1:5" x14ac:dyDescent="0.2">
      <c r="A84" s="1" t="s">
        <v>28</v>
      </c>
      <c r="B84" s="12">
        <v>-1823</v>
      </c>
      <c r="C84" s="12">
        <v>-10125</v>
      </c>
      <c r="D84" s="12">
        <v>6917</v>
      </c>
      <c r="E84" s="2">
        <v>245</v>
      </c>
    </row>
    <row r="85" spans="1:5" x14ac:dyDescent="0.2">
      <c r="A85" s="1" t="s">
        <v>29</v>
      </c>
      <c r="B85" s="12">
        <v>1484</v>
      </c>
      <c r="C85" s="12">
        <v>-2642</v>
      </c>
      <c r="D85" s="12">
        <v>-127</v>
      </c>
      <c r="E85" s="2">
        <v>-289</v>
      </c>
    </row>
    <row r="86" spans="1:5" x14ac:dyDescent="0.2">
      <c r="A86" s="1" t="s">
        <v>47</v>
      </c>
      <c r="B86" s="12">
        <v>-7520</v>
      </c>
      <c r="C86" s="12">
        <v>-3903</v>
      </c>
      <c r="D86" s="12">
        <v>1553</v>
      </c>
      <c r="E86" s="2">
        <v>2931</v>
      </c>
    </row>
    <row r="87" spans="1:5" x14ac:dyDescent="0.2">
      <c r="A87" s="1" t="s">
        <v>84</v>
      </c>
      <c r="B87" s="12">
        <v>-6499</v>
      </c>
      <c r="C87" s="12">
        <v>-8042</v>
      </c>
      <c r="D87" s="12">
        <v>-9588</v>
      </c>
      <c r="E87" s="2">
        <v>873</v>
      </c>
    </row>
    <row r="88" spans="1:5" x14ac:dyDescent="0.2">
      <c r="A88" s="1" t="s">
        <v>35</v>
      </c>
      <c r="B88" s="12">
        <v>9448</v>
      </c>
      <c r="C88" s="12">
        <v>12326</v>
      </c>
      <c r="D88" s="12">
        <v>-4062</v>
      </c>
      <c r="E88" s="2">
        <v>-1923</v>
      </c>
    </row>
    <row r="89" spans="1:5" x14ac:dyDescent="0.2">
      <c r="A89" s="1" t="s">
        <v>37</v>
      </c>
      <c r="B89" s="12">
        <v>478</v>
      </c>
      <c r="C89" s="12">
        <v>1676</v>
      </c>
      <c r="D89" s="12">
        <v>2081</v>
      </c>
      <c r="E89" s="2">
        <v>-625</v>
      </c>
    </row>
    <row r="90" spans="1:5" x14ac:dyDescent="0.2">
      <c r="A90" s="1" t="s">
        <v>85</v>
      </c>
      <c r="B90" s="12">
        <v>5632</v>
      </c>
      <c r="C90" s="12">
        <v>5799</v>
      </c>
      <c r="D90" s="12">
        <v>8916</v>
      </c>
      <c r="E90" s="2">
        <v>-4700</v>
      </c>
    </row>
    <row r="91" spans="1:5" x14ac:dyDescent="0.2">
      <c r="A91" s="8" t="s">
        <v>63</v>
      </c>
      <c r="B91" s="13">
        <f>+SUM(B76:B90)</f>
        <v>122151</v>
      </c>
      <c r="C91" s="13">
        <f t="shared" ref="C91:E91" si="28">+SUM(C76:C90)</f>
        <v>104038</v>
      </c>
      <c r="D91" s="13">
        <f t="shared" si="28"/>
        <v>80674</v>
      </c>
      <c r="E91" s="13">
        <f t="shared" si="28"/>
        <v>69391</v>
      </c>
    </row>
    <row r="92" spans="1:5" x14ac:dyDescent="0.2">
      <c r="A92" s="7" t="s">
        <v>64</v>
      </c>
      <c r="B92" s="12"/>
      <c r="C92" s="12"/>
      <c r="D92" s="12"/>
    </row>
    <row r="93" spans="1:5" x14ac:dyDescent="0.2">
      <c r="A93" s="1" t="s">
        <v>65</v>
      </c>
      <c r="B93" s="12">
        <v>-76923</v>
      </c>
      <c r="C93" s="12">
        <v>-109558</v>
      </c>
      <c r="D93" s="12">
        <v>-114938</v>
      </c>
      <c r="E93" s="2">
        <v>-39630</v>
      </c>
    </row>
    <row r="94" spans="1:5" x14ac:dyDescent="0.2">
      <c r="A94" s="1" t="s">
        <v>66</v>
      </c>
      <c r="B94" s="12">
        <v>29917</v>
      </c>
      <c r="C94" s="12">
        <v>59023</v>
      </c>
      <c r="D94" s="12">
        <v>69918</v>
      </c>
      <c r="E94" s="2">
        <v>40102</v>
      </c>
    </row>
    <row r="95" spans="1:5" x14ac:dyDescent="0.2">
      <c r="A95" s="1" t="s">
        <v>67</v>
      </c>
      <c r="B95" s="12">
        <v>37446</v>
      </c>
      <c r="C95" s="12">
        <v>47460</v>
      </c>
      <c r="D95" s="12">
        <v>50473</v>
      </c>
      <c r="E95" s="2">
        <v>56988</v>
      </c>
    </row>
    <row r="96" spans="1:5" x14ac:dyDescent="0.2">
      <c r="A96" s="1" t="s">
        <v>68</v>
      </c>
      <c r="B96" s="12">
        <v>-10708</v>
      </c>
      <c r="C96" s="12">
        <v>-11085</v>
      </c>
      <c r="D96" s="12">
        <v>-7309</v>
      </c>
      <c r="E96" s="2">
        <v>-10495</v>
      </c>
    </row>
    <row r="97" spans="1:5" x14ac:dyDescent="0.2">
      <c r="A97" s="1" t="s">
        <v>69</v>
      </c>
      <c r="B97" s="12">
        <v>-306</v>
      </c>
      <c r="C97" s="12">
        <v>-33</v>
      </c>
      <c r="D97" s="12">
        <v>-1524</v>
      </c>
      <c r="E97" s="2">
        <v>-624</v>
      </c>
    </row>
    <row r="98" spans="1:5" x14ac:dyDescent="0.2">
      <c r="A98" s="1" t="s">
        <v>61</v>
      </c>
      <c r="B98" s="12">
        <v>-1780</v>
      </c>
      <c r="C98" s="12">
        <v>-352</v>
      </c>
      <c r="D98" s="12">
        <v>-909</v>
      </c>
      <c r="E98" s="2">
        <v>-1078</v>
      </c>
    </row>
    <row r="99" spans="1:5" x14ac:dyDescent="0.2">
      <c r="A99" s="8" t="s">
        <v>70</v>
      </c>
      <c r="B99" s="13">
        <f>+SUM(B93:B98)</f>
        <v>-22354</v>
      </c>
      <c r="C99" s="13">
        <f t="shared" ref="C99:D99" si="29">+SUM(C93:C98)</f>
        <v>-14545</v>
      </c>
      <c r="D99" s="13">
        <f t="shared" si="29"/>
        <v>-4289</v>
      </c>
      <c r="E99" s="13">
        <v>45896</v>
      </c>
    </row>
    <row r="100" spans="1:5" x14ac:dyDescent="0.2">
      <c r="A100" s="7" t="s">
        <v>71</v>
      </c>
      <c r="B100" s="12"/>
      <c r="C100" s="12"/>
      <c r="D100" s="12"/>
    </row>
    <row r="101" spans="1:5" x14ac:dyDescent="0.2">
      <c r="A101" s="1" t="s">
        <v>86</v>
      </c>
      <c r="B101" s="12">
        <v>-6223</v>
      </c>
      <c r="C101" s="12">
        <v>-6556</v>
      </c>
      <c r="D101" s="12">
        <v>-3634</v>
      </c>
      <c r="E101" s="2">
        <v>-2817</v>
      </c>
    </row>
    <row r="102" spans="1:5" x14ac:dyDescent="0.2">
      <c r="A102" s="1" t="s">
        <v>72</v>
      </c>
      <c r="B102" s="12">
        <v>-14841</v>
      </c>
      <c r="C102" s="12">
        <v>-14467</v>
      </c>
      <c r="D102" s="12">
        <v>-14081</v>
      </c>
      <c r="E102" s="2">
        <v>-14119</v>
      </c>
    </row>
    <row r="103" spans="1:5" x14ac:dyDescent="0.2">
      <c r="A103" s="1" t="s">
        <v>73</v>
      </c>
      <c r="B103" s="12">
        <v>-89402</v>
      </c>
      <c r="C103" s="12">
        <v>-85971</v>
      </c>
      <c r="D103" s="12">
        <v>-72358</v>
      </c>
      <c r="E103" s="2">
        <v>-66897</v>
      </c>
    </row>
    <row r="104" spans="1:5" x14ac:dyDescent="0.2">
      <c r="A104" s="1" t="s">
        <v>74</v>
      </c>
      <c r="B104" s="12">
        <v>5465</v>
      </c>
      <c r="C104" s="12">
        <v>20393</v>
      </c>
      <c r="D104" s="12">
        <v>16091</v>
      </c>
      <c r="E104" s="2">
        <v>6963</v>
      </c>
    </row>
    <row r="105" spans="1:5" x14ac:dyDescent="0.2">
      <c r="A105" s="1" t="s">
        <v>75</v>
      </c>
      <c r="B105" s="12">
        <v>-9543</v>
      </c>
      <c r="C105" s="12">
        <v>-8750</v>
      </c>
      <c r="D105" s="12">
        <v>-12629</v>
      </c>
      <c r="E105" s="2">
        <v>-8805</v>
      </c>
    </row>
    <row r="106" spans="1:5" x14ac:dyDescent="0.2">
      <c r="A106" s="1" t="s">
        <v>76</v>
      </c>
      <c r="B106" s="12">
        <v>3955</v>
      </c>
      <c r="C106" s="12">
        <v>1022</v>
      </c>
      <c r="D106" s="12">
        <v>-963</v>
      </c>
      <c r="E106" s="2">
        <v>-5977</v>
      </c>
    </row>
    <row r="107" spans="1:5" x14ac:dyDescent="0.2">
      <c r="A107" s="1" t="s">
        <v>61</v>
      </c>
      <c r="B107" s="12">
        <v>-160</v>
      </c>
      <c r="C107" s="12">
        <v>976</v>
      </c>
      <c r="D107" s="12">
        <v>754</v>
      </c>
      <c r="E107" s="2">
        <v>-105</v>
      </c>
    </row>
    <row r="108" spans="1:5" x14ac:dyDescent="0.2">
      <c r="A108" s="8" t="s">
        <v>77</v>
      </c>
      <c r="B108" s="13">
        <f>+SUM(B101:B107)</f>
        <v>-110749</v>
      </c>
      <c r="C108" s="13">
        <f t="shared" ref="C108:D108" si="30">+SUM(C101:C107)</f>
        <v>-93353</v>
      </c>
      <c r="D108" s="13">
        <f t="shared" si="30"/>
        <v>-86820</v>
      </c>
      <c r="E108" s="2">
        <v>-90976</v>
      </c>
    </row>
    <row r="109" spans="1:5" x14ac:dyDescent="0.2">
      <c r="A109" s="8" t="s">
        <v>78</v>
      </c>
      <c r="B109" s="13">
        <f>+B91+B99+B108</f>
        <v>-10952</v>
      </c>
      <c r="C109" s="13">
        <f t="shared" ref="C109:D109" si="31">+C91+C99+C108</f>
        <v>-3860</v>
      </c>
      <c r="D109" s="13">
        <f t="shared" si="31"/>
        <v>-10435</v>
      </c>
      <c r="E109" s="2">
        <v>24311</v>
      </c>
    </row>
    <row r="110" spans="1:5" ht="15.75" thickBot="1" x14ac:dyDescent="0.25">
      <c r="A110" s="9" t="s">
        <v>79</v>
      </c>
      <c r="B110" s="14">
        <v>24977</v>
      </c>
      <c r="C110" s="14">
        <v>35929</v>
      </c>
      <c r="D110" s="14">
        <v>39789</v>
      </c>
      <c r="E110" s="2">
        <v>50224</v>
      </c>
    </row>
    <row r="111" spans="1:5" ht="15.75" thickTop="1" x14ac:dyDescent="0.2">
      <c r="B111" s="12"/>
      <c r="C111" s="12"/>
      <c r="D111" s="12"/>
    </row>
    <row r="112" spans="1:5" x14ac:dyDescent="0.2">
      <c r="A112" t="s">
        <v>80</v>
      </c>
      <c r="B112" s="12"/>
      <c r="C112" s="12"/>
      <c r="D112" s="12"/>
    </row>
    <row r="113" spans="1:5" x14ac:dyDescent="0.2">
      <c r="A113" t="s">
        <v>81</v>
      </c>
      <c r="B113" s="12">
        <v>19573</v>
      </c>
      <c r="C113" s="12">
        <v>25385</v>
      </c>
      <c r="D113" s="12">
        <v>9501</v>
      </c>
      <c r="E113" s="2">
        <v>15263</v>
      </c>
    </row>
    <row r="114" spans="1:5" x14ac:dyDescent="0.2">
      <c r="A114" t="s">
        <v>82</v>
      </c>
      <c r="B114" s="12">
        <v>2865</v>
      </c>
      <c r="C114" s="12">
        <v>2687</v>
      </c>
      <c r="D114" s="12">
        <v>3002</v>
      </c>
      <c r="E114" s="2">
        <v>3423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0"/>
  <sheetViews>
    <sheetView tabSelected="1" topLeftCell="B11" zoomScale="80" zoomScaleNormal="80" workbookViewId="0">
      <selection activeCell="K52" sqref="K52"/>
    </sheetView>
  </sheetViews>
  <sheetFormatPr defaultRowHeight="15" x14ac:dyDescent="0.2"/>
  <cols>
    <col min="1" max="1" width="4.70703125" customWidth="1"/>
    <col min="2" max="2" width="44.9296875" customWidth="1"/>
    <col min="3" max="5" width="16.41015625" bestFit="1" customWidth="1"/>
    <col min="6" max="6" width="41.1640625" customWidth="1"/>
  </cols>
  <sheetData>
    <row r="1" spans="1:12" ht="60" customHeight="1" x14ac:dyDescent="0.35">
      <c r="A1" s="6"/>
      <c r="B1" s="20" t="s">
        <v>0</v>
      </c>
      <c r="C1" s="19"/>
      <c r="D1" s="19"/>
      <c r="E1" s="19"/>
      <c r="F1" s="25" t="s">
        <v>202</v>
      </c>
      <c r="G1" s="19"/>
      <c r="H1" s="19"/>
      <c r="I1" s="19"/>
      <c r="J1" s="19"/>
      <c r="K1" s="19"/>
      <c r="L1" s="19"/>
    </row>
    <row r="2" spans="1:12" x14ac:dyDescent="0.2">
      <c r="C2" s="26" t="s">
        <v>23</v>
      </c>
      <c r="D2" s="26"/>
      <c r="E2" s="26"/>
    </row>
    <row r="3" spans="1:12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I3" t="s">
        <v>160</v>
      </c>
    </row>
    <row r="4" spans="1:12" x14ac:dyDescent="0.2">
      <c r="A4" s="18">
        <v>1</v>
      </c>
      <c r="B4" s="7" t="s">
        <v>99</v>
      </c>
    </row>
    <row r="5" spans="1:12" x14ac:dyDescent="0.2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  <c r="I5" t="s">
        <v>161</v>
      </c>
    </row>
    <row r="6" spans="1:12" x14ac:dyDescent="0.2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  <c r="F6" t="s">
        <v>189</v>
      </c>
    </row>
    <row r="7" spans="1:12" x14ac:dyDescent="0.2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  <c r="I7" t="s">
        <v>161</v>
      </c>
    </row>
    <row r="8" spans="1:12" x14ac:dyDescent="0.2">
      <c r="A8" s="18">
        <f t="shared" si="0"/>
        <v>1.4000000000000004</v>
      </c>
      <c r="B8" s="1" t="s">
        <v>103</v>
      </c>
      <c r="C8" s="24">
        <f>'Financial Statements'!B42/('Financial Statements'!B17/365)</f>
        <v>962.56354075372474</v>
      </c>
      <c r="D8" s="24">
        <f>'Financial Statements'!C42/('Financial Statements'!C17/365)</f>
        <v>1121.4058832911796</v>
      </c>
      <c r="E8" s="24">
        <f>'Financial Statements'!D42/('Financial Statements'!D17/366)</f>
        <v>1360.2709734147099</v>
      </c>
      <c r="F8" t="s">
        <v>190</v>
      </c>
    </row>
    <row r="9" spans="1:12" x14ac:dyDescent="0.2">
      <c r="A9" s="18">
        <f t="shared" si="0"/>
        <v>1.5000000000000004</v>
      </c>
      <c r="B9" s="1" t="s">
        <v>104</v>
      </c>
      <c r="C9" s="24">
        <f>'Financial Statements'!B39/'Financial Statements'!B12*365</f>
        <v>8.0756980666171607</v>
      </c>
      <c r="D9" s="24">
        <f>'Financial Statements'!C39/'Financial Statements'!C12*365</f>
        <v>11.27659274770989</v>
      </c>
      <c r="E9" s="24">
        <f>'Financial Statements'!D39/'Financial Statements'!D12*366</f>
        <v>8.7658337215954329</v>
      </c>
      <c r="I9" t="s">
        <v>162</v>
      </c>
    </row>
    <row r="10" spans="1:12" x14ac:dyDescent="0.2">
      <c r="A10" s="18">
        <f t="shared" si="0"/>
        <v>1.6000000000000005</v>
      </c>
      <c r="B10" s="1" t="s">
        <v>105</v>
      </c>
      <c r="C10" s="24">
        <f>'Financial Statements'!B51*365/'Financial Statements'!B12</f>
        <v>104.68527730310539</v>
      </c>
      <c r="D10" s="24">
        <f>'Financial Statements'!C51*365/'Financial Statements'!C12</f>
        <v>93.85107122231561</v>
      </c>
      <c r="E10" s="24">
        <f>'Financial Statements'!D51*366/'Financial Statements'!D12</f>
        <v>91.297636810785633</v>
      </c>
      <c r="I10" t="s">
        <v>163</v>
      </c>
    </row>
    <row r="11" spans="1:12" x14ac:dyDescent="0.2">
      <c r="A11" s="18">
        <f t="shared" si="0"/>
        <v>1.7000000000000006</v>
      </c>
      <c r="B11" s="1" t="s">
        <v>106</v>
      </c>
      <c r="C11" s="24">
        <f>'Financial Statements'!B38/'Financial Statements'!B8*365</f>
        <v>26.087825363656648</v>
      </c>
      <c r="D11" s="24">
        <f>'Financial Statements'!C38/'Financial Statements'!C8*365</f>
        <v>26.219311841713207</v>
      </c>
      <c r="E11" s="24">
        <f>'Financial Statements'!D38/'Financial Statements'!D8*366</f>
        <v>21.49215889842085</v>
      </c>
      <c r="I11" t="s">
        <v>164</v>
      </c>
    </row>
    <row r="12" spans="1:12" x14ac:dyDescent="0.2">
      <c r="A12" s="18">
        <f t="shared" si="0"/>
        <v>1.8000000000000007</v>
      </c>
      <c r="B12" s="1" t="s">
        <v>107</v>
      </c>
      <c r="C12" s="24">
        <f>C9+C11-C10</f>
        <v>-70.521753872831582</v>
      </c>
      <c r="D12" s="24">
        <f t="shared" ref="D12:E12" si="1">D9+D11-D10</f>
        <v>-56.355166632892512</v>
      </c>
      <c r="E12" s="24">
        <f t="shared" si="1"/>
        <v>-61.039644190769351</v>
      </c>
      <c r="I12" t="s">
        <v>161</v>
      </c>
    </row>
    <row r="13" spans="1:12" x14ac:dyDescent="0.2">
      <c r="A13" s="18">
        <f t="shared" si="0"/>
        <v>1.9000000000000008</v>
      </c>
      <c r="B13" s="1" t="s">
        <v>108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E14/'Financial Statements'!D8</f>
        <v>0.13959528623208203</v>
      </c>
      <c r="I13" t="s">
        <v>161</v>
      </c>
    </row>
    <row r="14" spans="1:12" x14ac:dyDescent="0.2">
      <c r="A14" s="18"/>
      <c r="B14" s="3" t="s">
        <v>109</v>
      </c>
      <c r="C14" s="24">
        <f>'Financial Statements'!B42-'Financial Statements'!B56</f>
        <v>-18577</v>
      </c>
      <c r="D14" s="24">
        <f>'Financial Statements'!C42-'Financial Statements'!C56</f>
        <v>9355</v>
      </c>
      <c r="E14" s="24">
        <f>'Financial Statements'!D42-'Financial Statements'!D56</f>
        <v>38321</v>
      </c>
      <c r="F14" s="24"/>
      <c r="G14" s="24"/>
      <c r="H14" s="24"/>
      <c r="I14" t="s">
        <v>161</v>
      </c>
    </row>
    <row r="15" spans="1:12" x14ac:dyDescent="0.2">
      <c r="A15" s="18"/>
    </row>
    <row r="16" spans="1:12" x14ac:dyDescent="0.2">
      <c r="A16" s="18">
        <f>+A4+1</f>
        <v>2</v>
      </c>
      <c r="B16" s="17" t="s">
        <v>110</v>
      </c>
    </row>
    <row r="17" spans="1:9" x14ac:dyDescent="0.2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  <c r="I17" t="s">
        <v>165</v>
      </c>
    </row>
    <row r="18" spans="1:9" x14ac:dyDescent="0.2">
      <c r="A18" s="18">
        <f>+A17+0.1</f>
        <v>2.2000000000000002</v>
      </c>
      <c r="B18" s="1" t="s">
        <v>111</v>
      </c>
      <c r="C18" s="23">
        <f>C19/'Financial Statements'!B8</f>
        <v>0.33019973220263332</v>
      </c>
      <c r="D18" s="23">
        <f>D19/'Financial Statements'!C8</f>
        <v>0.32937507004868555</v>
      </c>
      <c r="E18" s="23">
        <f>E19/'Financial Statements'!D8</f>
        <v>0.28467296869023551</v>
      </c>
      <c r="I18" t="s">
        <v>165</v>
      </c>
    </row>
    <row r="19" spans="1:9" x14ac:dyDescent="0.2">
      <c r="A19" s="18"/>
      <c r="B19" s="3" t="s">
        <v>112</v>
      </c>
      <c r="C19" s="24">
        <f>'Financial Statements'!B20+'Financial Statements'!B79</f>
        <v>130207</v>
      </c>
      <c r="D19" s="24">
        <f>'Financial Statements'!C20+'Financial Statements'!C79</f>
        <v>120491</v>
      </c>
      <c r="E19" s="24">
        <f>'Financial Statements'!D20+'Financial Statements'!D79</f>
        <v>78147</v>
      </c>
      <c r="F19" t="s">
        <v>191</v>
      </c>
      <c r="I19" t="s">
        <v>165</v>
      </c>
    </row>
    <row r="20" spans="1:9" x14ac:dyDescent="0.2">
      <c r="A20" s="18">
        <f>+A18+0.1</f>
        <v>2.3000000000000003</v>
      </c>
      <c r="B20" s="1" t="s">
        <v>113</v>
      </c>
      <c r="C20" s="23">
        <f>C21/'Financial Statements'!B8</f>
        <v>0.30204043334482966</v>
      </c>
      <c r="D20" s="23">
        <f>D21/'Financial Statements'!C8</f>
        <v>0.29852904594373691</v>
      </c>
      <c r="E20" s="23">
        <f>E21/'Financial Statements'!D8</f>
        <v>0.24439830246070343</v>
      </c>
      <c r="I20" t="s">
        <v>165</v>
      </c>
    </row>
    <row r="21" spans="1:9" x14ac:dyDescent="0.2">
      <c r="A21" s="18"/>
      <c r="B21" s="3" t="s">
        <v>114</v>
      </c>
      <c r="C21" s="24">
        <f>'Financial Statements'!B20</f>
        <v>119103</v>
      </c>
      <c r="D21" s="24">
        <f>'Financial Statements'!C20</f>
        <v>109207</v>
      </c>
      <c r="E21" s="24">
        <f>'Financial Statements'!D20</f>
        <v>67091</v>
      </c>
      <c r="F21" t="s">
        <v>192</v>
      </c>
      <c r="I21" t="s">
        <v>165</v>
      </c>
    </row>
    <row r="22" spans="1:9" x14ac:dyDescent="0.2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  <c r="I22" t="s">
        <v>164</v>
      </c>
    </row>
    <row r="23" spans="1:9" x14ac:dyDescent="0.2">
      <c r="A23" s="18"/>
    </row>
    <row r="24" spans="1:9" x14ac:dyDescent="0.2">
      <c r="A24" s="18">
        <f>+A16+1</f>
        <v>3</v>
      </c>
      <c r="B24" s="7" t="s">
        <v>116</v>
      </c>
    </row>
    <row r="25" spans="1:9" x14ac:dyDescent="0.2">
      <c r="A25" s="18">
        <f>+A24+0.1</f>
        <v>3.1</v>
      </c>
      <c r="B25" s="1" t="s">
        <v>117</v>
      </c>
      <c r="C25" s="24">
        <f>('Financial Statements'!B54+'Financial Statements'!B55+'Financial Statements'!B59)/'Financial Statements'!B68</f>
        <v>2.3695334701610355</v>
      </c>
      <c r="D25" s="24">
        <f>('Financial Statements'!C54+'Financial Statements'!C55+'Financial Statements'!C59)/'Financial Statements'!C68</f>
        <v>1.9768426058012363</v>
      </c>
      <c r="E25" s="24">
        <f>('Financial Statements'!D54+'Financial Statements'!D55+'Financial Statements'!D59)/'Financial Statements'!D68</f>
        <v>1.7208099297509909</v>
      </c>
      <c r="F25" t="s">
        <v>193</v>
      </c>
    </row>
    <row r="26" spans="1:9" x14ac:dyDescent="0.2">
      <c r="A26" s="18">
        <f t="shared" ref="A26:A30" si="2">+A25+0.1</f>
        <v>3.2</v>
      </c>
      <c r="B26" s="1" t="s">
        <v>118</v>
      </c>
      <c r="C26" s="24">
        <f>('Financial Statements'!B54+'Financial Statements'!B55+'Financial Statements'!B59)/'Financial Statements'!B48</f>
        <v>0.34037504783773442</v>
      </c>
      <c r="D26" s="24">
        <f>('Financial Statements'!C54+'Financial Statements'!C55+'Financial Statements'!C59)/'Financial Statements'!C48</f>
        <v>0.35532276169366556</v>
      </c>
      <c r="E26" s="24">
        <f>('Financial Statements'!D54+'Financial Statements'!D55+'Financial Statements'!D59)/'Financial Statements'!D48</f>
        <v>0.34714469199229364</v>
      </c>
      <c r="F26" t="s">
        <v>193</v>
      </c>
      <c r="I26" t="s">
        <v>164</v>
      </c>
    </row>
    <row r="27" spans="1:9" x14ac:dyDescent="0.2">
      <c r="A27" s="18">
        <f t="shared" si="2"/>
        <v>3.3000000000000003</v>
      </c>
      <c r="B27" s="1" t="s">
        <v>119</v>
      </c>
      <c r="C27" s="24">
        <f>'Financial Statements'!B55/('Financial Statements'!B59+'Financial Statements'!B68)</f>
        <v>7.4369615921834373E-2</v>
      </c>
      <c r="D27" s="24">
        <f>'Financial Statements'!C55/('Financial Statements'!C59+'Financial Statements'!C68)</f>
        <v>5.5825919301261351E-2</v>
      </c>
      <c r="E27" s="24">
        <f>'Financial Statements'!D55/('Financial Statements'!D59+'Financial Statements'!D68)</f>
        <v>5.3491945416631097E-2</v>
      </c>
      <c r="F27" t="s">
        <v>194</v>
      </c>
      <c r="I27" t="s">
        <v>164</v>
      </c>
    </row>
    <row r="28" spans="1:9" x14ac:dyDescent="0.2">
      <c r="A28" s="18">
        <f t="shared" si="2"/>
        <v>3.4000000000000004</v>
      </c>
      <c r="B28" s="1" t="s">
        <v>120</v>
      </c>
      <c r="C28" s="24">
        <f>'Financial Statements'!B20/'Financial Statements'!B114</f>
        <v>41.571727748691103</v>
      </c>
      <c r="D28" s="24">
        <f>'Financial Statements'!C20/'Financial Statements'!C114</f>
        <v>40.642724227763303</v>
      </c>
      <c r="E28" s="24">
        <f>'Financial Statements'!D20/'Financial Statements'!D114</f>
        <v>22.348767488341107</v>
      </c>
      <c r="F28" t="s">
        <v>195</v>
      </c>
      <c r="I28" t="s">
        <v>163</v>
      </c>
    </row>
    <row r="29" spans="1:9" x14ac:dyDescent="0.2">
      <c r="A29" s="18">
        <f t="shared" si="2"/>
        <v>3.5000000000000004</v>
      </c>
      <c r="B29" s="1" t="s">
        <v>121</v>
      </c>
      <c r="C29" s="24">
        <f>'Financial Statements'!B18/'Financial Statements'!B62</f>
        <v>0.39537809145168712</v>
      </c>
      <c r="D29" s="24">
        <f>'Financial Statements'!C18/'Financial Statements'!C62</f>
        <v>0.37841076440023341</v>
      </c>
      <c r="E29" s="24">
        <f>'Financial Statements'!D18/'Financial Statements'!D62</f>
        <v>0.25638466983047703</v>
      </c>
      <c r="F29" t="s">
        <v>196</v>
      </c>
      <c r="I29" t="s">
        <v>163</v>
      </c>
    </row>
    <row r="30" spans="1:9" x14ac:dyDescent="0.2">
      <c r="A30" s="18">
        <f t="shared" si="2"/>
        <v>3.6000000000000005</v>
      </c>
      <c r="B30" s="1" t="s">
        <v>122</v>
      </c>
      <c r="C30" s="24">
        <f>C31/'Financial Statements'!B28*1000</f>
        <v>14.454895034668704</v>
      </c>
      <c r="D30" s="24">
        <f>D31/'Financial Statements'!C28*1000</f>
        <v>13.62556203205008</v>
      </c>
      <c r="E30" s="24">
        <f>E31/'Financial Statements'!D28*1000</f>
        <v>9.3552029887357602</v>
      </c>
      <c r="I30" t="s">
        <v>163</v>
      </c>
    </row>
    <row r="31" spans="1:9" x14ac:dyDescent="0.2">
      <c r="A31" s="18"/>
      <c r="B31" s="3" t="s">
        <v>123</v>
      </c>
      <c r="C31" s="24">
        <f>'Financial Statements'!B22+'Financial Statements'!B79-'List of Ratios'!C33-'Financial Statements'!B96+C32</f>
        <v>235988</v>
      </c>
      <c r="D31" s="24">
        <f>'Financial Statements'!C22+'Financial Statements'!C79-'List of Ratios'!D33-'Financial Statements'!C96+D32</f>
        <v>229794</v>
      </c>
      <c r="E31" s="24">
        <f>'Financial Statements'!D22+'Financial Statements'!D79-'List of Ratios'!E33-'Financial Statements'!D96+E32</f>
        <v>163980</v>
      </c>
      <c r="F31" t="s">
        <v>197</v>
      </c>
      <c r="I31" t="s">
        <v>163</v>
      </c>
    </row>
    <row r="32" spans="1:9" x14ac:dyDescent="0.2">
      <c r="A32" s="18"/>
      <c r="B32" s="3" t="s">
        <v>159</v>
      </c>
      <c r="C32" s="24">
        <f>'Financial Statements'!B55+'Financial Statements'!B59-'Financial Statements'!B36</f>
        <v>86441</v>
      </c>
      <c r="D32" s="24">
        <f>'Financial Statements'!C55+'Financial Statements'!C59-'Financial Statements'!C36</f>
        <v>83779</v>
      </c>
      <c r="E32" s="24">
        <f>'Financial Statements'!D55+'Financial Statements'!D59-'Financial Statements'!D36</f>
        <v>69424</v>
      </c>
      <c r="F32" t="s">
        <v>198</v>
      </c>
      <c r="I32" t="s">
        <v>163</v>
      </c>
    </row>
    <row r="33" spans="1:9" x14ac:dyDescent="0.2">
      <c r="A33" s="18"/>
      <c r="B33" s="1" t="s">
        <v>158</v>
      </c>
      <c r="C33" s="24">
        <f>C14-D14</f>
        <v>-27932</v>
      </c>
      <c r="D33" s="24">
        <f>D14-E14</f>
        <v>-28966</v>
      </c>
      <c r="E33" s="24">
        <f>E14-57101</f>
        <v>-18780</v>
      </c>
      <c r="F33" t="s">
        <v>199</v>
      </c>
      <c r="I33" t="s">
        <v>161</v>
      </c>
    </row>
    <row r="34" spans="1:9" x14ac:dyDescent="0.2">
      <c r="A34" s="18"/>
    </row>
    <row r="35" spans="1:9" x14ac:dyDescent="0.2">
      <c r="A35" s="18">
        <f>+A24+1</f>
        <v>4</v>
      </c>
      <c r="B35" s="17" t="s">
        <v>124</v>
      </c>
    </row>
    <row r="36" spans="1:9" x14ac:dyDescent="0.2">
      <c r="A36" s="18">
        <f>+A35+0.1</f>
        <v>4.0999999999999996</v>
      </c>
      <c r="B36" s="1" t="s">
        <v>125</v>
      </c>
      <c r="C36" s="24">
        <f>'Financial Statements'!B8/'Financial Statements'!B48</f>
        <v>1.1178523337727317</v>
      </c>
      <c r="D36" s="24">
        <f>'Financial Statements'!C8/'Financial Statements'!C48</f>
        <v>1.0422077367080529</v>
      </c>
      <c r="E36" s="24">
        <f>'Financial Statements'!D8/'Financial Statements'!D48</f>
        <v>0.84756150274168851</v>
      </c>
      <c r="I36" t="s">
        <v>165</v>
      </c>
    </row>
    <row r="37" spans="1:9" x14ac:dyDescent="0.2">
      <c r="A37" s="18">
        <f t="shared" ref="A37:A39" si="3">+A36+0.1</f>
        <v>4.1999999999999993</v>
      </c>
      <c r="B37" s="1" t="s">
        <v>126</v>
      </c>
      <c r="C37" s="24">
        <f>'Financial Statements'!B8/'Financial Statements'!B45</f>
        <v>9.3626801529073767</v>
      </c>
      <c r="D37" s="24">
        <f>'Financial Statements'!C8/'Financial Statements'!C45</f>
        <v>9.2752789046653152</v>
      </c>
      <c r="E37" s="24">
        <f>'Financial Statements'!D8/'Financial Statements'!D45</f>
        <v>7.4665451776097482</v>
      </c>
      <c r="I37" t="s">
        <v>165</v>
      </c>
    </row>
    <row r="38" spans="1:9" x14ac:dyDescent="0.2">
      <c r="A38" s="18">
        <f t="shared" si="3"/>
        <v>4.2999999999999989</v>
      </c>
      <c r="B38" s="1" t="s">
        <v>127</v>
      </c>
      <c r="C38" s="24">
        <f>'Financial Statements'!B12/'Financial Statements'!B39</f>
        <v>45.197331176708452</v>
      </c>
      <c r="D38" s="24">
        <f>'Financial Statements'!C12/'Financial Statements'!C39</f>
        <v>32.367933130699086</v>
      </c>
      <c r="E38" s="24">
        <f>'Financial Statements'!D12/'Financial Statements'!D39</f>
        <v>41.753016498399411</v>
      </c>
      <c r="I38" t="s">
        <v>164</v>
      </c>
    </row>
    <row r="39" spans="1:9" x14ac:dyDescent="0.2">
      <c r="A39" s="18">
        <f t="shared" si="3"/>
        <v>4.3999999999999986</v>
      </c>
      <c r="B39" s="1" t="s">
        <v>128</v>
      </c>
      <c r="C39" s="24">
        <f>'Financial Statements'!B22/'Financial Statements'!B48</f>
        <v>0.28292440929256851</v>
      </c>
      <c r="D39" s="24">
        <f>'Financial Statements'!C22/'Financial Statements'!C48</f>
        <v>0.26974205275183616</v>
      </c>
      <c r="E39" s="24">
        <f>'Financial Statements'!D22/'Financial Statements'!D48</f>
        <v>0.1772557180259843</v>
      </c>
      <c r="I39" t="s">
        <v>165</v>
      </c>
    </row>
    <row r="40" spans="1:9" x14ac:dyDescent="0.2">
      <c r="A40" s="18"/>
    </row>
    <row r="41" spans="1:9" x14ac:dyDescent="0.2">
      <c r="A41" s="18">
        <f>+A35+1</f>
        <v>5</v>
      </c>
      <c r="B41" s="17" t="s">
        <v>129</v>
      </c>
    </row>
    <row r="42" spans="1:9" x14ac:dyDescent="0.2">
      <c r="A42" s="18">
        <f>+A41+0.1</f>
        <v>5.0999999999999996</v>
      </c>
      <c r="B42" s="1" t="s">
        <v>130</v>
      </c>
      <c r="C42" s="24">
        <f>C55/C43</f>
        <v>21.265139116202946</v>
      </c>
      <c r="D42" s="24">
        <f t="shared" ref="D42:E42" si="4">D55/D43</f>
        <v>31.652406417112296</v>
      </c>
      <c r="E42" s="24">
        <f t="shared" si="4"/>
        <v>40.454268292682926</v>
      </c>
      <c r="I42" t="s">
        <v>161</v>
      </c>
    </row>
    <row r="43" spans="1:9" x14ac:dyDescent="0.2">
      <c r="A43" s="18">
        <f t="shared" ref="A43:A46" si="5">+A42+0.1</f>
        <v>5.1999999999999993</v>
      </c>
      <c r="B43" s="3" t="s">
        <v>131</v>
      </c>
      <c r="C43" s="24">
        <f>'Financial Statements'!B25</f>
        <v>6.11</v>
      </c>
      <c r="D43" s="24">
        <f>'Financial Statements'!C25</f>
        <v>5.61</v>
      </c>
      <c r="E43" s="24">
        <f>'Financial Statements'!D25</f>
        <v>3.28</v>
      </c>
      <c r="I43" t="s">
        <v>165</v>
      </c>
    </row>
    <row r="44" spans="1:9" x14ac:dyDescent="0.2">
      <c r="A44" s="18">
        <f t="shared" si="5"/>
        <v>5.2999999999999989</v>
      </c>
      <c r="B44" s="1" t="s">
        <v>132</v>
      </c>
      <c r="C44" s="24">
        <f>C55*'Financial Statements'!B28/('Financial Statements'!B48-'Financial Statements'!B62)/1000</f>
        <v>41.86165264189296</v>
      </c>
      <c r="D44" s="24">
        <f>D55*'Financial Statements'!C28/('Financial Statements'!C48-'Financial Statements'!C62)/1000</f>
        <v>47.467168597717546</v>
      </c>
      <c r="E44" s="24">
        <f>E55*'Financial Statements'!D28/('Financial Statements'!D48-'Financial Statements'!D62)/1000</f>
        <v>35.596178632363518</v>
      </c>
      <c r="I44" t="s">
        <v>162</v>
      </c>
    </row>
    <row r="45" spans="1:9" x14ac:dyDescent="0.2">
      <c r="A45" s="18">
        <f t="shared" si="5"/>
        <v>5.3999999999999986</v>
      </c>
      <c r="B45" s="3" t="s">
        <v>133</v>
      </c>
      <c r="C45" s="24">
        <f>('Financial Statements'!B48-'Financial Statements'!B62)/'Financial Statements'!B28/1000</f>
        <v>3.1037952827971451E-6</v>
      </c>
      <c r="D45" s="24">
        <f>('Financial Statements'!C48-'Financial Statements'!C62)/'Financial Statements'!C28/1000</f>
        <v>3.740901453484597E-6</v>
      </c>
      <c r="E45" s="24">
        <f>('Financial Statements'!D48-'Financial Statements'!D62)/'Financial Statements'!D28/1000</f>
        <v>3.7276473233382477E-6</v>
      </c>
      <c r="F45" t="s">
        <v>200</v>
      </c>
      <c r="I45" t="s">
        <v>164</v>
      </c>
    </row>
    <row r="46" spans="1:9" x14ac:dyDescent="0.2">
      <c r="A46" s="18">
        <f t="shared" si="5"/>
        <v>5.4999999999999982</v>
      </c>
      <c r="B46" s="1" t="s">
        <v>134</v>
      </c>
      <c r="C46" s="24">
        <f>-'Financial Statements'!B102/'Financial Statements'!B22</f>
        <v>0.14870294480125848</v>
      </c>
      <c r="D46" s="24">
        <f>-'Financial Statements'!C102/'Financial Statements'!C22</f>
        <v>0.15279890156316012</v>
      </c>
      <c r="E46" s="24">
        <f>-'Financial Statements'!D102/'Financial Statements'!D22</f>
        <v>0.24526658654264863</v>
      </c>
      <c r="I46" t="s">
        <v>162</v>
      </c>
    </row>
    <row r="47" spans="1:9" x14ac:dyDescent="0.2">
      <c r="A47" s="18"/>
      <c r="B47" s="3" t="s">
        <v>135</v>
      </c>
      <c r="C47" s="24">
        <f>-'Financial Statements'!B102/('Financial Statements'!B28/1000)</f>
        <v>0.90905087211857494</v>
      </c>
      <c r="D47" s="24">
        <f>-'Financial Statements'!C102/('Financial Statements'!C28/1000)</f>
        <v>0.85781615672153533</v>
      </c>
      <c r="E47" s="24">
        <f>-'Financial Statements'!D102/('Financial Statements'!D28/1000)</f>
        <v>0.80333341434558025</v>
      </c>
      <c r="I47" t="s">
        <v>165</v>
      </c>
    </row>
    <row r="48" spans="1:9" x14ac:dyDescent="0.2">
      <c r="A48" s="18">
        <f>+A46+0.1</f>
        <v>5.5999999999999979</v>
      </c>
      <c r="B48" s="1" t="s">
        <v>136</v>
      </c>
      <c r="C48" s="24">
        <f>C47/C55</f>
        <v>6.9964663443282914E-3</v>
      </c>
      <c r="D48" s="24">
        <f t="shared" ref="D48:E48" si="6">D47/D55</f>
        <v>4.8308619514644104E-3</v>
      </c>
      <c r="E48" s="24">
        <f t="shared" si="6"/>
        <v>6.0542121813669473E-3</v>
      </c>
      <c r="I48" t="s">
        <v>164</v>
      </c>
    </row>
    <row r="49" spans="1:9" x14ac:dyDescent="0.2">
      <c r="A49" s="18">
        <f t="shared" ref="A49:A52" si="7">+A47+0.1</f>
        <v>0.1</v>
      </c>
      <c r="B49" s="1" t="s">
        <v>137</v>
      </c>
      <c r="C49" s="24">
        <f>'Financial Statements'!B22/'Financial Statements'!B68</f>
        <v>1.9695887275023682</v>
      </c>
      <c r="D49" s="24">
        <f>'Financial Statements'!C22/'Financial Statements'!C68</f>
        <v>1.5007132667617689</v>
      </c>
      <c r="E49" s="24">
        <f>'Financial Statements'!D22/'Financial Statements'!D68</f>
        <v>0.87866358530127486</v>
      </c>
      <c r="I49" t="s">
        <v>165</v>
      </c>
    </row>
    <row r="50" spans="1:9" x14ac:dyDescent="0.2">
      <c r="A50" s="18">
        <f t="shared" si="7"/>
        <v>5.6999999999999975</v>
      </c>
      <c r="B50" s="1" t="s">
        <v>138</v>
      </c>
      <c r="C50" s="24">
        <f>C21/('Financial Statements'!B48-'Financial Statements'!B56)</f>
        <v>0.59919103701206899</v>
      </c>
      <c r="D50" s="24">
        <f>D21/('Financial Statements'!C48-'Financial Statements'!C56)</f>
        <v>0.48424315252238148</v>
      </c>
      <c r="E50" s="24">
        <f>E21/('Financial Statements'!D48-'Financial Statements'!D56)</f>
        <v>0.30705825278265964</v>
      </c>
      <c r="F50" t="s">
        <v>201</v>
      </c>
      <c r="I50" t="s">
        <v>165</v>
      </c>
    </row>
    <row r="51" spans="1:9" x14ac:dyDescent="0.2">
      <c r="A51" s="18">
        <f t="shared" si="7"/>
        <v>0.2</v>
      </c>
      <c r="B51" s="1" t="s">
        <v>128</v>
      </c>
      <c r="C51" s="24">
        <f>'Financial Statements'!B22/'Financial Statements'!B48</f>
        <v>0.28292440929256851</v>
      </c>
      <c r="D51" s="24">
        <f>'Financial Statements'!C22/'Financial Statements'!C48</f>
        <v>0.26974205275183616</v>
      </c>
      <c r="E51" s="24">
        <f>'Financial Statements'!D22/'Financial Statements'!D48</f>
        <v>0.1772557180259843</v>
      </c>
      <c r="I51" t="s">
        <v>165</v>
      </c>
    </row>
    <row r="52" spans="1:9" x14ac:dyDescent="0.2">
      <c r="A52" s="18">
        <f t="shared" si="7"/>
        <v>5.7999999999999972</v>
      </c>
      <c r="B52" s="1" t="s">
        <v>139</v>
      </c>
      <c r="C52" s="24">
        <f>C53/C19</f>
        <v>17.031623973135087</v>
      </c>
      <c r="D52" s="24">
        <f t="shared" ref="D52:E52" si="8">D53/D19</f>
        <v>25.599278509017271</v>
      </c>
      <c r="E52" s="24">
        <f t="shared" si="8"/>
        <v>30.714406383610378</v>
      </c>
      <c r="I52" t="s">
        <v>162</v>
      </c>
    </row>
    <row r="53" spans="1:9" x14ac:dyDescent="0.2">
      <c r="A53" s="18"/>
      <c r="B53" s="3" t="s">
        <v>140</v>
      </c>
      <c r="C53" s="24">
        <f>(C55/1000)*('Financial Statements'!B28)+('Financial Statements'!B54+'Financial Statements'!B55+'Financial Statements'!B59)-'Financial Statements'!B36</f>
        <v>2217636.6626700005</v>
      </c>
      <c r="D53" s="24">
        <f>(D55/1000)*('Financial Statements'!C28)+('Financial Statements'!C54+'Financial Statements'!C55+'Financial Statements'!C59)-'Financial Statements'!C36</f>
        <v>3084482.66683</v>
      </c>
      <c r="E53" s="24">
        <f>(E55/1000)*('Financial Statements'!D28)+('Financial Statements'!D54+'Financial Statements'!D55+'Financial Statements'!D59)-'Financial Statements'!D36</f>
        <v>2400238.7156600002</v>
      </c>
      <c r="F53" t="s">
        <v>193</v>
      </c>
      <c r="I53" t="s">
        <v>162</v>
      </c>
    </row>
    <row r="55" spans="1:9" x14ac:dyDescent="0.2">
      <c r="B55" s="11" t="s">
        <v>152</v>
      </c>
      <c r="C55">
        <v>129.93</v>
      </c>
      <c r="D55">
        <v>177.57</v>
      </c>
      <c r="E55">
        <v>132.69</v>
      </c>
      <c r="I55" t="s">
        <v>161</v>
      </c>
    </row>
    <row r="57" spans="1:9" x14ac:dyDescent="0.2">
      <c r="B57" s="7" t="s">
        <v>150</v>
      </c>
    </row>
    <row r="58" spans="1:9" x14ac:dyDescent="0.2">
      <c r="B58" t="s">
        <v>4</v>
      </c>
      <c r="C58" s="23">
        <f>'Financial Statements'!B6/'Financial Statements'!C6-1</f>
        <v>6.3239764351428418E-2</v>
      </c>
      <c r="D58" s="23">
        <f>'Financial Statements'!C6/'Financial Statements'!D6-1</f>
        <v>0.34720743656765429</v>
      </c>
      <c r="E58" s="23">
        <f>'Financial Statements'!D6/'Financial Statements'!E6-1</f>
        <v>3.2092312151970948E-2</v>
      </c>
      <c r="I58" t="s">
        <v>161</v>
      </c>
    </row>
    <row r="59" spans="1:9" x14ac:dyDescent="0.2">
      <c r="B59" t="s">
        <v>5</v>
      </c>
      <c r="C59" s="23">
        <f>'Financial Statements'!B7/'Financial Statements'!C7-1</f>
        <v>0.14181951041286078</v>
      </c>
      <c r="D59" s="23">
        <f>'Financial Statements'!C7/'Financial Statements'!D7-1</f>
        <v>0.27259708376729663</v>
      </c>
      <c r="E59" s="23">
        <f>'Financial Statements'!D7/'Financial Statements'!E7-1</f>
        <v>0.16152167807997242</v>
      </c>
      <c r="I59" t="s">
        <v>161</v>
      </c>
    </row>
    <row r="60" spans="1:9" x14ac:dyDescent="0.2">
      <c r="B60" t="s">
        <v>153</v>
      </c>
      <c r="C60" s="23">
        <f>'Financial Statements'!B8/'Financial Statements'!C8-1</f>
        <v>7.7937876041846099E-2</v>
      </c>
      <c r="D60" s="23">
        <f>'Financial Statements'!C8/'Financial Statements'!D8-1</f>
        <v>0.33259384733074704</v>
      </c>
      <c r="E60" s="23">
        <f>'Financial Statements'!D8/'Financial Statements'!E8-1</f>
        <v>5.5120803769784787E-2</v>
      </c>
      <c r="I60" t="s">
        <v>161</v>
      </c>
    </row>
    <row r="61" spans="1:9" x14ac:dyDescent="0.2">
      <c r="B61" t="s">
        <v>89</v>
      </c>
      <c r="C61" s="23">
        <f>'Financial Statements'!B13/'Financial Statements'!C13-1</f>
        <v>0.1174199795859614</v>
      </c>
      <c r="D61" s="23">
        <f>'Financial Statements'!C13/'Financial Statements'!D13-1</f>
        <v>0.45619116582186825</v>
      </c>
      <c r="E61" s="23">
        <f>'Financial Statements'!D13/'Financial Statements'!E13-1</f>
        <v>6.6712740873241749E-2</v>
      </c>
      <c r="I61" t="s">
        <v>161</v>
      </c>
    </row>
    <row r="62" spans="1:9" x14ac:dyDescent="0.2">
      <c r="B62" t="s">
        <v>11</v>
      </c>
      <c r="C62" s="23">
        <f>'Financial Statements'!B15/'Financial Statements'!C15-1</f>
        <v>0.19791001186456136</v>
      </c>
      <c r="D62" s="23">
        <f>'Financial Statements'!C15/'Financial Statements'!D15-1</f>
        <v>0.16862201365187723</v>
      </c>
      <c r="E62" s="23">
        <f>'Financial Statements'!D15/'Financial Statements'!E15-1</f>
        <v>0.15631744465684161</v>
      </c>
      <c r="I62" t="s">
        <v>165</v>
      </c>
    </row>
    <row r="63" spans="1:9" x14ac:dyDescent="0.2">
      <c r="B63" t="s">
        <v>12</v>
      </c>
      <c r="C63" s="23">
        <f>'Financial Statements'!B16/'Financial Statements'!C16-1</f>
        <v>0.14203795567287125</v>
      </c>
      <c r="D63" s="23">
        <f>'Financial Statements'!C16/'Financial Statements'!D16-1</f>
        <v>0.10328379192608961</v>
      </c>
      <c r="E63" s="23">
        <f>'Financial Statements'!D16/'Financial Statements'!E16-1</f>
        <v>9.1586736092080123E-2</v>
      </c>
      <c r="I63" t="s">
        <v>165</v>
      </c>
    </row>
    <row r="64" spans="1:9" x14ac:dyDescent="0.2">
      <c r="B64" t="s">
        <v>13</v>
      </c>
      <c r="C64" s="23">
        <f>'Financial Statements'!B17/'Financial Statements'!C17-1</f>
        <v>0.16993642764372141</v>
      </c>
      <c r="D64" s="23">
        <f>'Financial Statements'!C17/'Financial Statements'!D17-1</f>
        <v>0.13496948381090301</v>
      </c>
      <c r="E64" s="23">
        <f>'Financial Statements'!D17/'Financial Statements'!E17-1</f>
        <v>0.12204747257849236</v>
      </c>
      <c r="I64" t="s">
        <v>165</v>
      </c>
    </row>
    <row r="65" spans="2:9" x14ac:dyDescent="0.2">
      <c r="B65" t="s">
        <v>155</v>
      </c>
      <c r="C65" s="23">
        <f>'Financial Statements'!B42/'Financial Statements'!C42-1</f>
        <v>4.2199412619774446E-3</v>
      </c>
      <c r="D65" s="23">
        <f>'Financial Statements'!C42/'Financial Statements'!D42-1</f>
        <v>-6.1768942266879123E-2</v>
      </c>
      <c r="E65" s="23">
        <f>'Financial Statements'!D42/'Financial Statements'!E42-1</f>
        <v>-0.11734502730025365</v>
      </c>
      <c r="I65" t="s">
        <v>165</v>
      </c>
    </row>
    <row r="66" spans="2:9" x14ac:dyDescent="0.2">
      <c r="B66" t="s">
        <v>154</v>
      </c>
      <c r="C66" s="23">
        <f>'Financial Statements'!B47/'Financial Statements'!C47-1</f>
        <v>5.477272096444441E-3</v>
      </c>
      <c r="D66" s="23">
        <f>'Financial Statements'!C47/'Financial Statements'!D47-1</f>
        <v>0.19975579297904811</v>
      </c>
      <c r="E66" s="23">
        <f>'Financial Statements'!D47/'Financial Statements'!E47-1</f>
        <v>2.5487060109165238E-2</v>
      </c>
      <c r="I66" t="s">
        <v>161</v>
      </c>
    </row>
    <row r="67" spans="2:9" x14ac:dyDescent="0.2">
      <c r="B67" t="s">
        <v>157</v>
      </c>
      <c r="C67" s="23">
        <f>'Financial Statements'!B56/'Financial Statements'!C56-1</f>
        <v>0.22713398841258825</v>
      </c>
      <c r="D67" s="23">
        <f>'Financial Statements'!C56/'Financial Statements'!D56-1</f>
        <v>0.19061219067860935</v>
      </c>
      <c r="E67" s="23">
        <f>'Financial Statements'!D56/'Financial Statements'!E56-1</f>
        <v>-3.0836754384305776E-3</v>
      </c>
      <c r="I67" t="s">
        <v>165</v>
      </c>
    </row>
    <row r="68" spans="2:9" x14ac:dyDescent="0.2">
      <c r="B68" t="s">
        <v>156</v>
      </c>
      <c r="C68" s="23">
        <f>'Financial Statements'!B61/'Financial Statements'!C61-1</f>
        <v>-8.8222075835277747E-2</v>
      </c>
      <c r="D68" s="23">
        <f>'Financial Statements'!C61/'Financial Statements'!D61-1</f>
        <v>6.0552243775994663E-2</v>
      </c>
      <c r="E68" s="23">
        <f>'Financial Statements'!D61/'Financial Statements'!E61-1</f>
        <v>7.6220926147143597E-2</v>
      </c>
      <c r="I68" t="s">
        <v>161</v>
      </c>
    </row>
    <row r="69" spans="2:9" x14ac:dyDescent="0.2">
      <c r="B69" t="s">
        <v>45</v>
      </c>
      <c r="C69" s="23">
        <f>'Financial Statements'!B68/'Financial Statements'!C68-1</f>
        <v>-0.19682992550324929</v>
      </c>
      <c r="D69" s="23">
        <f>'Financial Statements'!C68/'Financial Statements'!D68-1</f>
        <v>-3.4420483937617652E-2</v>
      </c>
      <c r="E69" s="23">
        <f>'Financial Statements'!D68/'Financial Statements'!E68-1</f>
        <v>-0.27792635487578465</v>
      </c>
      <c r="I69" t="s">
        <v>161</v>
      </c>
    </row>
    <row r="70" spans="2:9" x14ac:dyDescent="0.2">
      <c r="C70" s="23"/>
      <c r="D70" s="23"/>
      <c r="E70" s="23"/>
    </row>
    <row r="71" spans="2:9" x14ac:dyDescent="0.2">
      <c r="B71" s="7" t="s">
        <v>151</v>
      </c>
      <c r="C71" s="23"/>
      <c r="D71" s="23"/>
      <c r="E71" s="23"/>
    </row>
    <row r="72" spans="2:9" x14ac:dyDescent="0.2">
      <c r="B72" t="s">
        <v>146</v>
      </c>
      <c r="C72" s="23">
        <f>'Financial Statements'!B12/'Financial Statements'!B8</f>
        <v>0.56690369438639909</v>
      </c>
      <c r="D72" s="23">
        <f>'Financial Statements'!C12/'Financial Statements'!C8</f>
        <v>0.58220640374832222</v>
      </c>
      <c r="E72" s="23">
        <f>'Financial Statements'!D12/'Financial Statements'!D8</f>
        <v>0.61766752272189129</v>
      </c>
      <c r="I72" t="s">
        <v>161</v>
      </c>
    </row>
    <row r="73" spans="2:9" x14ac:dyDescent="0.2">
      <c r="B73" t="s">
        <v>89</v>
      </c>
      <c r="C73" s="23">
        <f>'Financial Statements'!B13/'Financial Statements'!B8</f>
        <v>0.43309630561360085</v>
      </c>
      <c r="D73" s="23">
        <f>'Financial Statements'!C13/'Financial Statements'!C8</f>
        <v>0.41779359625167778</v>
      </c>
      <c r="E73" s="23">
        <f>'Financial Statements'!D13/'Financial Statements'!D8</f>
        <v>0.38233247727810865</v>
      </c>
      <c r="I73" t="s">
        <v>165</v>
      </c>
    </row>
    <row r="74" spans="2:9" x14ac:dyDescent="0.2">
      <c r="B74" t="s">
        <v>11</v>
      </c>
      <c r="C74" s="23">
        <f>'Financial Statements'!B15/'Financial Statements'!B8</f>
        <v>6.657148363798665E-2</v>
      </c>
      <c r="D74" s="23">
        <f>'Financial Statements'!C15/'Financial Statements'!C8</f>
        <v>5.9904269074427925E-2</v>
      </c>
      <c r="E74" s="23">
        <f>'Financial Statements'!D15/'Financial Statements'!D8</f>
        <v>6.8309564140393061E-2</v>
      </c>
      <c r="I74" t="s">
        <v>164</v>
      </c>
    </row>
    <row r="75" spans="2:9" x14ac:dyDescent="0.2">
      <c r="B75" t="s">
        <v>12</v>
      </c>
      <c r="C75" s="23">
        <f>'Financial Statements'!B16/'Financial Statements'!B8</f>
        <v>6.3637378020328261E-2</v>
      </c>
      <c r="D75" s="23">
        <f>'Financial Statements'!C16/'Financial Statements'!C8</f>
        <v>6.006555190163388E-2</v>
      </c>
      <c r="E75" s="23">
        <f>'Financial Statements'!D16/'Financial Statements'!D8</f>
        <v>7.2549769593646979E-2</v>
      </c>
      <c r="I75" t="s">
        <v>161</v>
      </c>
    </row>
    <row r="76" spans="2:9" x14ac:dyDescent="0.2">
      <c r="B76" t="s">
        <v>14</v>
      </c>
      <c r="C76" s="23">
        <f>'Financial Statements'!B18/'Financial Statements'!B8</f>
        <v>0.30288744395528594</v>
      </c>
      <c r="D76" s="23">
        <f>'Financial Statements'!C18/'Financial Statements'!C8</f>
        <v>0.29782377527561593</v>
      </c>
      <c r="E76" s="23">
        <f>'Financial Statements'!D18/'Financial Statements'!D8</f>
        <v>0.24147314354406862</v>
      </c>
      <c r="I76" t="s">
        <v>165</v>
      </c>
    </row>
    <row r="77" spans="2:9" x14ac:dyDescent="0.2">
      <c r="B77" t="s">
        <v>93</v>
      </c>
      <c r="C77" s="23">
        <f>'Financial Statements'!B22/'Financial Statements'!B8</f>
        <v>0.25309640705199732</v>
      </c>
      <c r="D77" s="23">
        <f>'Financial Statements'!C22/'Financial Statements'!C8</f>
        <v>0.25881793355694238</v>
      </c>
      <c r="E77" s="23">
        <f>'Financial Statements'!D22/'Financial Statements'!D8</f>
        <v>0.20913611278072236</v>
      </c>
      <c r="I77" t="s">
        <v>165</v>
      </c>
    </row>
    <row r="78" spans="2:9" x14ac:dyDescent="0.2">
      <c r="B78" t="s">
        <v>94</v>
      </c>
      <c r="C78" s="23">
        <f>'Financial Statements'!B21/'Financial Statements'!B20</f>
        <v>0.16204461684424407</v>
      </c>
      <c r="D78" s="23">
        <f>'Financial Statements'!C21/'Financial Statements'!C20</f>
        <v>0.13302260844085087</v>
      </c>
      <c r="E78" s="23">
        <f>'Financial Statements'!D21/'Financial Statements'!D20</f>
        <v>0.14428164731484103</v>
      </c>
      <c r="I78" t="s">
        <v>161</v>
      </c>
    </row>
    <row r="79" spans="2:9" x14ac:dyDescent="0.2">
      <c r="B79" t="s">
        <v>95</v>
      </c>
      <c r="C79" s="23">
        <f>-'Financial Statements'!B96/'Financial Statements'!B8</f>
        <v>2.7155058732831552E-2</v>
      </c>
      <c r="D79" s="23">
        <f>-'Financial Statements'!C96/'Financial Statements'!C8</f>
        <v>3.0302036264033657E-2</v>
      </c>
      <c r="E79" s="23">
        <f>-'Financial Statements'!D96/'Financial Statements'!D8</f>
        <v>2.6625138881299748E-2</v>
      </c>
      <c r="I79" t="s">
        <v>161</v>
      </c>
    </row>
    <row r="80" spans="2:9" x14ac:dyDescent="0.2">
      <c r="B80" t="s">
        <v>96</v>
      </c>
      <c r="C80" s="23">
        <f>-'Financial Statements'!B96/'Financial Statements'!B45</f>
        <v>0.25424412944891611</v>
      </c>
      <c r="D80" s="23">
        <f>-'Financial Statements'!C96/'Financial Statements'!C45</f>
        <v>0.28105983772819471</v>
      </c>
      <c r="E80" s="23">
        <f>-'Financial Statements'!D96/'Financial Statements'!D45</f>
        <v>0.19879780231735844</v>
      </c>
      <c r="I80" t="s">
        <v>161</v>
      </c>
    </row>
  </sheetData>
  <mergeCells count="1">
    <mergeCell ref="C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4"/>
  <sheetViews>
    <sheetView zoomScaleNormal="150" zoomScaleSheetLayoutView="100" workbookViewId="0">
      <selection activeCell="C105" sqref="C105"/>
    </sheetView>
  </sheetViews>
  <sheetFormatPr defaultRowHeight="15" x14ac:dyDescent="0.2"/>
  <cols>
    <col min="1" max="1" width="10.89453125" bestFit="1" customWidth="1"/>
  </cols>
  <sheetData>
    <row r="1" spans="1:5" x14ac:dyDescent="0.2">
      <c r="A1" t="s">
        <v>168</v>
      </c>
    </row>
    <row r="3" spans="1:5" x14ac:dyDescent="0.2">
      <c r="A3" t="s">
        <v>172</v>
      </c>
    </row>
    <row r="4" spans="1:5" x14ac:dyDescent="0.2">
      <c r="A4" t="s">
        <v>169</v>
      </c>
      <c r="B4" t="s">
        <v>170</v>
      </c>
      <c r="C4" t="s">
        <v>171</v>
      </c>
    </row>
    <row r="5" spans="1:5" x14ac:dyDescent="0.2">
      <c r="A5">
        <v>2019</v>
      </c>
      <c r="B5">
        <v>213883</v>
      </c>
    </row>
    <row r="6" spans="1:5" x14ac:dyDescent="0.2">
      <c r="A6">
        <v>2020</v>
      </c>
      <c r="B6">
        <v>220747</v>
      </c>
      <c r="C6">
        <f>(B6-B5)/B6</f>
        <v>3.1094420309222777E-2</v>
      </c>
      <c r="E6" t="s">
        <v>203</v>
      </c>
    </row>
    <row r="7" spans="1:5" x14ac:dyDescent="0.2">
      <c r="A7">
        <v>2021</v>
      </c>
      <c r="B7">
        <v>297392</v>
      </c>
      <c r="C7">
        <f>(B7-B6)/B7</f>
        <v>0.25772381234195946</v>
      </c>
    </row>
    <row r="8" spans="1:5" x14ac:dyDescent="0.2">
      <c r="A8">
        <v>2022</v>
      </c>
      <c r="B8">
        <v>316199</v>
      </c>
      <c r="C8">
        <f>(B8-B7)/B8</f>
        <v>5.9478366471747222E-2</v>
      </c>
    </row>
    <row r="10" spans="1:5" x14ac:dyDescent="0.2">
      <c r="A10" t="s">
        <v>173</v>
      </c>
    </row>
    <row r="12" spans="1:5" x14ac:dyDescent="0.2">
      <c r="A12" t="s">
        <v>169</v>
      </c>
      <c r="B12" t="s">
        <v>170</v>
      </c>
      <c r="C12" t="s">
        <v>174</v>
      </c>
    </row>
    <row r="13" spans="1:5" x14ac:dyDescent="0.2">
      <c r="A13">
        <v>2019</v>
      </c>
      <c r="B13">
        <v>46291</v>
      </c>
    </row>
    <row r="14" spans="1:5" x14ac:dyDescent="0.2">
      <c r="A14">
        <v>2020</v>
      </c>
      <c r="B14">
        <v>53768</v>
      </c>
      <c r="C14">
        <f>(B14-B13)/B14</f>
        <v>0.13906040767742894</v>
      </c>
    </row>
    <row r="15" spans="1:5" x14ac:dyDescent="0.2">
      <c r="A15">
        <v>2021</v>
      </c>
      <c r="B15">
        <v>68425</v>
      </c>
      <c r="C15">
        <f>(B15-B14)/B15</f>
        <v>0.21420533430763611</v>
      </c>
    </row>
    <row r="16" spans="1:5" x14ac:dyDescent="0.2">
      <c r="A16">
        <v>2022</v>
      </c>
      <c r="B16">
        <v>78129</v>
      </c>
      <c r="C16">
        <f>(B16-B15)/B16</f>
        <v>0.12420484071215554</v>
      </c>
    </row>
    <row r="18" spans="1:3" x14ac:dyDescent="0.2">
      <c r="A18" t="s">
        <v>175</v>
      </c>
    </row>
    <row r="20" spans="1:3" x14ac:dyDescent="0.2">
      <c r="A20" t="s">
        <v>169</v>
      </c>
      <c r="B20" t="s">
        <v>167</v>
      </c>
      <c r="C20" t="s">
        <v>171</v>
      </c>
    </row>
    <row r="21" spans="1:3" x14ac:dyDescent="0.2">
      <c r="A21">
        <v>2019</v>
      </c>
      <c r="B21">
        <v>260174</v>
      </c>
    </row>
    <row r="22" spans="1:3" x14ac:dyDescent="0.2">
      <c r="A22">
        <v>2020</v>
      </c>
      <c r="B22">
        <v>274515</v>
      </c>
      <c r="C22">
        <f>(B22-B21)/B22</f>
        <v>5.2241225433947144E-2</v>
      </c>
    </row>
    <row r="23" spans="1:3" x14ac:dyDescent="0.2">
      <c r="A23">
        <v>2021</v>
      </c>
      <c r="B23">
        <v>365817</v>
      </c>
      <c r="C23">
        <f>(B23-B22)/B23</f>
        <v>0.24958380829759141</v>
      </c>
    </row>
    <row r="24" spans="1:3" x14ac:dyDescent="0.2">
      <c r="A24">
        <v>2022</v>
      </c>
      <c r="B24">
        <v>394328</v>
      </c>
      <c r="C24">
        <f>(B24-B23)/B24</f>
        <v>7.2302753038079967E-2</v>
      </c>
    </row>
    <row r="26" spans="1:3" x14ac:dyDescent="0.2">
      <c r="A26" t="s">
        <v>176</v>
      </c>
    </row>
    <row r="28" spans="1:3" x14ac:dyDescent="0.2">
      <c r="A28" t="s">
        <v>169</v>
      </c>
      <c r="B28" t="s">
        <v>170</v>
      </c>
      <c r="C28" t="s">
        <v>171</v>
      </c>
    </row>
    <row r="29" spans="1:3" x14ac:dyDescent="0.2">
      <c r="A29">
        <v>2019</v>
      </c>
      <c r="B29">
        <v>161782</v>
      </c>
    </row>
    <row r="30" spans="1:3" x14ac:dyDescent="0.2">
      <c r="A30">
        <v>2020</v>
      </c>
      <c r="B30">
        <v>169559</v>
      </c>
      <c r="C30">
        <f>(B30-B29)/B30</f>
        <v>4.5866040729185709E-2</v>
      </c>
    </row>
    <row r="31" spans="1:3" x14ac:dyDescent="0.2">
      <c r="A31">
        <v>2021</v>
      </c>
      <c r="B31">
        <v>212981</v>
      </c>
      <c r="C31">
        <f>(B31-B30)/B31</f>
        <v>0.20387734117127818</v>
      </c>
    </row>
    <row r="32" spans="1:3" x14ac:dyDescent="0.2">
      <c r="A32">
        <v>2022</v>
      </c>
      <c r="B32">
        <v>223546</v>
      </c>
      <c r="C32">
        <f>(B32-B31)/B32</f>
        <v>4.726096642301808E-2</v>
      </c>
    </row>
    <row r="34" spans="1:3" x14ac:dyDescent="0.2">
      <c r="A34" t="s">
        <v>177</v>
      </c>
    </row>
    <row r="36" spans="1:3" x14ac:dyDescent="0.2">
      <c r="A36" t="s">
        <v>169</v>
      </c>
      <c r="B36" t="s">
        <v>170</v>
      </c>
      <c r="C36" t="s">
        <v>174</v>
      </c>
    </row>
    <row r="37" spans="1:3" x14ac:dyDescent="0.2">
      <c r="A37">
        <v>2019</v>
      </c>
      <c r="B37">
        <v>98392</v>
      </c>
    </row>
    <row r="38" spans="1:3" x14ac:dyDescent="0.2">
      <c r="A38">
        <v>2020</v>
      </c>
      <c r="B38">
        <v>104956</v>
      </c>
      <c r="C38">
        <f>(B38-B37)/B38</f>
        <v>6.2540493159038077E-2</v>
      </c>
    </row>
    <row r="39" spans="1:3" x14ac:dyDescent="0.2">
      <c r="A39">
        <v>2021</v>
      </c>
      <c r="B39">
        <v>152836</v>
      </c>
      <c r="C39">
        <f>(B39-B38)/B39</f>
        <v>0.31327697662854304</v>
      </c>
    </row>
    <row r="40" spans="1:3" x14ac:dyDescent="0.2">
      <c r="A40">
        <v>2022</v>
      </c>
      <c r="B40">
        <v>170782</v>
      </c>
      <c r="C40">
        <f>(B40-B39)/B40</f>
        <v>0.10508133175627409</v>
      </c>
    </row>
    <row r="42" spans="1:3" x14ac:dyDescent="0.2">
      <c r="A42" t="s">
        <v>178</v>
      </c>
    </row>
    <row r="44" spans="1:3" x14ac:dyDescent="0.2">
      <c r="A44" t="s">
        <v>169</v>
      </c>
      <c r="B44" t="s">
        <v>170</v>
      </c>
      <c r="C44" t="s">
        <v>174</v>
      </c>
    </row>
    <row r="45" spans="1:3" x14ac:dyDescent="0.2">
      <c r="A45">
        <v>2019</v>
      </c>
      <c r="B45">
        <v>34462</v>
      </c>
    </row>
    <row r="46" spans="1:3" x14ac:dyDescent="0.2">
      <c r="A46">
        <v>2020</v>
      </c>
      <c r="B46">
        <v>38668</v>
      </c>
      <c r="C46">
        <f>(B46-B45)/B46</f>
        <v>0.10877211130650667</v>
      </c>
    </row>
    <row r="47" spans="1:3" x14ac:dyDescent="0.2">
      <c r="A47">
        <v>2021</v>
      </c>
      <c r="B47">
        <v>43887</v>
      </c>
      <c r="C47">
        <f>(B47-B46)/B47</f>
        <v>0.11891904208535557</v>
      </c>
    </row>
    <row r="48" spans="1:3" x14ac:dyDescent="0.2">
      <c r="A48">
        <v>2022</v>
      </c>
      <c r="B48">
        <v>51345</v>
      </c>
      <c r="C48">
        <f>(B48-B47)/B48</f>
        <v>0.14525270230791704</v>
      </c>
    </row>
    <row r="50" spans="1:3" x14ac:dyDescent="0.2">
      <c r="A50" t="s">
        <v>14</v>
      </c>
    </row>
    <row r="52" spans="1:3" x14ac:dyDescent="0.2">
      <c r="A52" t="s">
        <v>169</v>
      </c>
      <c r="B52" t="s">
        <v>170</v>
      </c>
      <c r="C52" t="s">
        <v>171</v>
      </c>
    </row>
    <row r="53" spans="1:3" x14ac:dyDescent="0.2">
      <c r="A53">
        <v>2019</v>
      </c>
      <c r="B53">
        <v>63930</v>
      </c>
    </row>
    <row r="54" spans="1:3" x14ac:dyDescent="0.2">
      <c r="A54">
        <v>2020</v>
      </c>
      <c r="B54">
        <v>66288</v>
      </c>
      <c r="C54">
        <f>(B54-B53)/B54</f>
        <v>3.5572049239681387E-2</v>
      </c>
    </row>
    <row r="55" spans="1:3" x14ac:dyDescent="0.2">
      <c r="A55">
        <v>2021</v>
      </c>
      <c r="B55">
        <v>108949</v>
      </c>
      <c r="C55">
        <f>(B55-B54)/B55</f>
        <v>0.39156853206546183</v>
      </c>
    </row>
    <row r="56" spans="1:3" x14ac:dyDescent="0.2">
      <c r="A56">
        <v>2022</v>
      </c>
      <c r="B56">
        <v>119437</v>
      </c>
      <c r="C56">
        <f>(B56-B55)/B56</f>
        <v>8.7811984560898212E-2</v>
      </c>
    </row>
    <row r="58" spans="1:3" x14ac:dyDescent="0.2">
      <c r="A58" t="s">
        <v>179</v>
      </c>
    </row>
    <row r="60" spans="1:3" x14ac:dyDescent="0.2">
      <c r="A60" t="s">
        <v>169</v>
      </c>
      <c r="B60" t="s">
        <v>170</v>
      </c>
      <c r="C60" t="s">
        <v>171</v>
      </c>
    </row>
    <row r="61" spans="1:3" x14ac:dyDescent="0.2">
      <c r="A61">
        <v>2019</v>
      </c>
      <c r="B61">
        <v>65737</v>
      </c>
    </row>
    <row r="62" spans="1:3" x14ac:dyDescent="0.2">
      <c r="A62">
        <v>2020</v>
      </c>
      <c r="B62">
        <v>67091</v>
      </c>
      <c r="C62">
        <f>(B62-B61)/B62</f>
        <v>2.0181544469451938E-2</v>
      </c>
    </row>
    <row r="63" spans="1:3" x14ac:dyDescent="0.2">
      <c r="A63">
        <v>2021</v>
      </c>
      <c r="B63">
        <v>109207</v>
      </c>
      <c r="C63">
        <f>(B63-B62)/B63</f>
        <v>0.38565293433571107</v>
      </c>
    </row>
    <row r="64" spans="1:3" x14ac:dyDescent="0.2">
      <c r="A64">
        <v>2022</v>
      </c>
      <c r="B64">
        <v>119103</v>
      </c>
      <c r="C64">
        <f>(B64-B63)/B64</f>
        <v>8.3087747579825871E-2</v>
      </c>
    </row>
    <row r="66" spans="1:3" x14ac:dyDescent="0.2">
      <c r="A66" t="s">
        <v>180</v>
      </c>
    </row>
    <row r="68" spans="1:3" x14ac:dyDescent="0.2">
      <c r="A68" t="s">
        <v>169</v>
      </c>
      <c r="B68" t="s">
        <v>170</v>
      </c>
      <c r="C68" t="s">
        <v>171</v>
      </c>
    </row>
    <row r="69" spans="1:3" x14ac:dyDescent="0.2">
      <c r="A69">
        <v>2019</v>
      </c>
      <c r="B69">
        <v>55256</v>
      </c>
    </row>
    <row r="70" spans="1:3" x14ac:dyDescent="0.2">
      <c r="A70">
        <v>2020</v>
      </c>
      <c r="B70">
        <v>57411</v>
      </c>
      <c r="C70">
        <f>(B70-B69)/B70</f>
        <v>3.7536360627754263E-2</v>
      </c>
    </row>
    <row r="71" spans="1:3" x14ac:dyDescent="0.2">
      <c r="A71">
        <v>2021</v>
      </c>
      <c r="B71">
        <v>94680</v>
      </c>
      <c r="C71">
        <f>(B71-B70)/B71</f>
        <v>0.39363117870722436</v>
      </c>
    </row>
    <row r="72" spans="1:3" x14ac:dyDescent="0.2">
      <c r="A72">
        <v>2022</v>
      </c>
      <c r="B72">
        <v>99803</v>
      </c>
      <c r="C72">
        <f>(B72-B71)/B72</f>
        <v>5.1331122310952576E-2</v>
      </c>
    </row>
    <row r="74" spans="1:3" x14ac:dyDescent="0.2">
      <c r="A74" t="s">
        <v>181</v>
      </c>
    </row>
    <row r="76" spans="1:3" x14ac:dyDescent="0.2">
      <c r="A76" t="s">
        <v>169</v>
      </c>
      <c r="B76" t="s">
        <v>170</v>
      </c>
      <c r="C76" t="s">
        <v>174</v>
      </c>
    </row>
    <row r="77" spans="1:3" x14ac:dyDescent="0.2">
      <c r="A77">
        <v>2019</v>
      </c>
      <c r="B77">
        <v>162819</v>
      </c>
    </row>
    <row r="78" spans="1:3" x14ac:dyDescent="0.2">
      <c r="A78">
        <v>2020</v>
      </c>
      <c r="B78">
        <v>143713</v>
      </c>
      <c r="C78">
        <f>(B78-B77)/B78</f>
        <v>-0.13294552336949336</v>
      </c>
    </row>
    <row r="79" spans="1:3" x14ac:dyDescent="0.2">
      <c r="A79">
        <v>2021</v>
      </c>
      <c r="B79">
        <v>134836</v>
      </c>
      <c r="C79">
        <f>(B79-B78)/B79</f>
        <v>-6.5835533537037583E-2</v>
      </c>
    </row>
    <row r="80" spans="1:3" x14ac:dyDescent="0.2">
      <c r="A80">
        <v>2022</v>
      </c>
      <c r="B80">
        <v>135405</v>
      </c>
      <c r="C80">
        <f>(B80-B79)/B80</f>
        <v>4.2022081902440825E-3</v>
      </c>
    </row>
    <row r="82" spans="1:3" x14ac:dyDescent="0.2">
      <c r="A82" t="s">
        <v>182</v>
      </c>
    </row>
    <row r="84" spans="1:3" x14ac:dyDescent="0.2">
      <c r="A84" t="s">
        <v>166</v>
      </c>
      <c r="B84" t="s">
        <v>170</v>
      </c>
      <c r="C84" t="s">
        <v>174</v>
      </c>
    </row>
    <row r="85" spans="1:3" x14ac:dyDescent="0.2">
      <c r="A85">
        <v>2019</v>
      </c>
      <c r="B85">
        <v>175697</v>
      </c>
    </row>
    <row r="86" spans="1:3" x14ac:dyDescent="0.2">
      <c r="A86">
        <v>2020</v>
      </c>
      <c r="B86">
        <v>180175</v>
      </c>
      <c r="C86">
        <f>(B86-B85)/B86</f>
        <v>2.4853614541418066E-2</v>
      </c>
    </row>
    <row r="87" spans="1:3" x14ac:dyDescent="0.2">
      <c r="A87">
        <v>2021</v>
      </c>
      <c r="B87">
        <v>216166</v>
      </c>
      <c r="C87">
        <f>(B87-B86)/B87</f>
        <v>0.16649704393845471</v>
      </c>
    </row>
    <row r="88" spans="1:3" x14ac:dyDescent="0.2">
      <c r="A88">
        <v>2022</v>
      </c>
      <c r="B88">
        <v>217350</v>
      </c>
      <c r="C88">
        <f>(B88-B87)/B88</f>
        <v>5.4474350126524039E-3</v>
      </c>
    </row>
    <row r="90" spans="1:3" x14ac:dyDescent="0.2">
      <c r="A90" t="s">
        <v>183</v>
      </c>
    </row>
    <row r="92" spans="1:3" x14ac:dyDescent="0.2">
      <c r="A92" t="s">
        <v>169</v>
      </c>
      <c r="B92" t="s">
        <v>167</v>
      </c>
      <c r="C92" t="s">
        <v>174</v>
      </c>
    </row>
    <row r="93" spans="1:3" x14ac:dyDescent="0.2">
      <c r="A93">
        <v>2019</v>
      </c>
      <c r="B93">
        <v>105718</v>
      </c>
    </row>
    <row r="94" spans="1:3" x14ac:dyDescent="0.2">
      <c r="A94">
        <v>2020</v>
      </c>
      <c r="B94">
        <v>105392</v>
      </c>
      <c r="C94">
        <f>(B94-B93)/B94</f>
        <v>-3.0932139061788373E-3</v>
      </c>
    </row>
    <row r="95" spans="1:3" x14ac:dyDescent="0.2">
      <c r="A95">
        <v>2021</v>
      </c>
      <c r="B95">
        <v>125481</v>
      </c>
      <c r="C95">
        <f>(B95-B94)/B95</f>
        <v>0.16009595078139319</v>
      </c>
    </row>
    <row r="96" spans="1:3" x14ac:dyDescent="0.2">
      <c r="A96">
        <v>2022</v>
      </c>
      <c r="B96">
        <v>153982</v>
      </c>
      <c r="C96">
        <f>(B96-B95)/B96</f>
        <v>0.18509306282552507</v>
      </c>
    </row>
    <row r="98" spans="1:3" x14ac:dyDescent="0.2">
      <c r="A98" t="s">
        <v>184</v>
      </c>
    </row>
    <row r="100" spans="1:3" x14ac:dyDescent="0.2">
      <c r="A100" t="s">
        <v>169</v>
      </c>
      <c r="B100" t="s">
        <v>170</v>
      </c>
      <c r="C100" t="s">
        <v>171</v>
      </c>
    </row>
    <row r="101" spans="1:3" x14ac:dyDescent="0.2">
      <c r="A101">
        <v>2019</v>
      </c>
      <c r="B101">
        <v>142310</v>
      </c>
    </row>
    <row r="102" spans="1:3" x14ac:dyDescent="0.2">
      <c r="A102">
        <v>2020</v>
      </c>
      <c r="B102">
        <v>153157</v>
      </c>
      <c r="C102">
        <f>(B102-B101)/B102</f>
        <v>7.0822750510913635E-2</v>
      </c>
    </row>
    <row r="103" spans="1:3" x14ac:dyDescent="0.2">
      <c r="A103">
        <v>2021</v>
      </c>
      <c r="B103">
        <v>162431</v>
      </c>
      <c r="C103">
        <f>(B103-B102)/B103</f>
        <v>5.7095012651525875E-2</v>
      </c>
    </row>
    <row r="104" spans="1:3" x14ac:dyDescent="0.2">
      <c r="A104">
        <v>2022</v>
      </c>
      <c r="B104">
        <v>148101</v>
      </c>
      <c r="C104">
        <f>(B104-B103)/B104</f>
        <v>-9.6758293326851263E-2</v>
      </c>
    </row>
  </sheetData>
  <phoneticPr fontId="8" alignment="center"/>
  <pageMargins left="0.7" right="0.7" top="0.75" bottom="0.75" header="0.3" footer="0.3"/>
  <tableParts count="1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43"/>
  <sheetViews>
    <sheetView zoomScaleNormal="150" zoomScaleSheetLayoutView="100" workbookViewId="0">
      <selection activeCell="C7" sqref="C7"/>
    </sheetView>
  </sheetViews>
  <sheetFormatPr defaultRowHeight="15" x14ac:dyDescent="0.2"/>
  <cols>
    <col min="1" max="1" width="10.89453125" bestFit="1" customWidth="1"/>
  </cols>
  <sheetData>
    <row r="3" spans="1:3" x14ac:dyDescent="0.2">
      <c r="A3" t="s">
        <v>185</v>
      </c>
    </row>
    <row r="5" spans="1:3" x14ac:dyDescent="0.2">
      <c r="A5" t="s">
        <v>188</v>
      </c>
      <c r="B5" t="s">
        <v>170</v>
      </c>
      <c r="C5" t="s">
        <v>174</v>
      </c>
    </row>
    <row r="6" spans="1:3" x14ac:dyDescent="0.2">
      <c r="A6">
        <v>2019</v>
      </c>
      <c r="B6">
        <v>161782</v>
      </c>
    </row>
    <row r="7" spans="1:3" x14ac:dyDescent="0.2">
      <c r="A7">
        <v>2020</v>
      </c>
      <c r="B7">
        <v>169559</v>
      </c>
      <c r="C7">
        <f>(B7-B6)/B7*100</f>
        <v>4.5866040729185711</v>
      </c>
    </row>
    <row r="8" spans="1:3" x14ac:dyDescent="0.2">
      <c r="A8">
        <v>2021</v>
      </c>
      <c r="B8">
        <v>212981</v>
      </c>
      <c r="C8">
        <f t="shared" ref="C7:C9" si="0">(B8-B7)/B8*100</f>
        <v>20.387734117127817</v>
      </c>
    </row>
    <row r="9" spans="1:3" x14ac:dyDescent="0.2">
      <c r="A9">
        <v>2022</v>
      </c>
      <c r="B9">
        <v>223546</v>
      </c>
      <c r="C9">
        <f t="shared" si="0"/>
        <v>4.7260966423018083</v>
      </c>
    </row>
    <row r="11" spans="1:3" x14ac:dyDescent="0.2">
      <c r="A11" t="s">
        <v>177</v>
      </c>
    </row>
    <row r="12" spans="1:3" x14ac:dyDescent="0.2">
      <c r="A12" t="s">
        <v>188</v>
      </c>
      <c r="B12" t="s">
        <v>170</v>
      </c>
      <c r="C12" t="s">
        <v>174</v>
      </c>
    </row>
    <row r="13" spans="1:3" x14ac:dyDescent="0.2">
      <c r="A13">
        <v>2019</v>
      </c>
      <c r="B13">
        <v>98392</v>
      </c>
    </row>
    <row r="14" spans="1:3" x14ac:dyDescent="0.2">
      <c r="A14">
        <v>2020</v>
      </c>
      <c r="B14">
        <v>104956</v>
      </c>
      <c r="C14">
        <f t="shared" ref="C14:C16" si="1">(B14-B13)/B14*100</f>
        <v>6.2540493159038073</v>
      </c>
    </row>
    <row r="15" spans="1:3" x14ac:dyDescent="0.2">
      <c r="A15">
        <v>2021</v>
      </c>
      <c r="B15">
        <v>152836</v>
      </c>
      <c r="C15">
        <f t="shared" si="1"/>
        <v>31.327697662854305</v>
      </c>
    </row>
    <row r="16" spans="1:3" x14ac:dyDescent="0.2">
      <c r="A16">
        <v>2022</v>
      </c>
      <c r="B16">
        <v>170782</v>
      </c>
      <c r="C16">
        <f t="shared" si="1"/>
        <v>10.508133175627409</v>
      </c>
    </row>
    <row r="19" spans="1:3" x14ac:dyDescent="0.2">
      <c r="A19" t="s">
        <v>186</v>
      </c>
    </row>
    <row r="21" spans="1:3" x14ac:dyDescent="0.2">
      <c r="A21" t="s">
        <v>188</v>
      </c>
      <c r="B21" t="s">
        <v>170</v>
      </c>
      <c r="C21" t="s">
        <v>174</v>
      </c>
    </row>
    <row r="22" spans="1:3" x14ac:dyDescent="0.2">
      <c r="A22">
        <v>2019</v>
      </c>
      <c r="B22">
        <v>34462</v>
      </c>
    </row>
    <row r="23" spans="1:3" x14ac:dyDescent="0.2">
      <c r="A23">
        <v>2020</v>
      </c>
      <c r="B23">
        <v>38668</v>
      </c>
      <c r="C23">
        <f t="shared" ref="C23:C25" si="2">(B23-B22)/B23*100</f>
        <v>10.877211130650668</v>
      </c>
    </row>
    <row r="24" spans="1:3" x14ac:dyDescent="0.2">
      <c r="A24">
        <v>2021</v>
      </c>
      <c r="B24">
        <v>43887</v>
      </c>
      <c r="C24">
        <f t="shared" si="2"/>
        <v>11.891904208535557</v>
      </c>
    </row>
    <row r="25" spans="1:3" x14ac:dyDescent="0.2">
      <c r="A25">
        <v>2022</v>
      </c>
      <c r="B25">
        <v>51345</v>
      </c>
      <c r="C25">
        <f t="shared" si="2"/>
        <v>14.525270230791703</v>
      </c>
    </row>
    <row r="28" spans="1:3" x14ac:dyDescent="0.2">
      <c r="A28" t="s">
        <v>187</v>
      </c>
    </row>
    <row r="30" spans="1:3" x14ac:dyDescent="0.2">
      <c r="A30" t="s">
        <v>188</v>
      </c>
      <c r="B30" t="s">
        <v>170</v>
      </c>
      <c r="C30" t="s">
        <v>174</v>
      </c>
    </row>
    <row r="31" spans="1:3" x14ac:dyDescent="0.2">
      <c r="A31">
        <v>2019</v>
      </c>
      <c r="B31">
        <v>63930</v>
      </c>
    </row>
    <row r="32" spans="1:3" x14ac:dyDescent="0.2">
      <c r="A32">
        <v>2020</v>
      </c>
      <c r="B32">
        <v>66288</v>
      </c>
      <c r="C32">
        <f t="shared" ref="C32:C34" si="3">(B32-B31)/B32*100</f>
        <v>3.5572049239681389</v>
      </c>
    </row>
    <row r="33" spans="1:3" x14ac:dyDescent="0.2">
      <c r="A33">
        <v>2021</v>
      </c>
      <c r="B33">
        <v>108949</v>
      </c>
      <c r="C33">
        <f t="shared" si="3"/>
        <v>39.156853206546181</v>
      </c>
    </row>
    <row r="34" spans="1:3" x14ac:dyDescent="0.2">
      <c r="A34">
        <v>2022</v>
      </c>
      <c r="B34">
        <v>119437</v>
      </c>
      <c r="C34">
        <f t="shared" si="3"/>
        <v>8.7811984560898217</v>
      </c>
    </row>
    <row r="37" spans="1:3" x14ac:dyDescent="0.2">
      <c r="A37" t="s">
        <v>18</v>
      </c>
    </row>
    <row r="39" spans="1:3" x14ac:dyDescent="0.2">
      <c r="A39" t="s">
        <v>188</v>
      </c>
      <c r="B39" t="s">
        <v>170</v>
      </c>
      <c r="C39" t="s">
        <v>174</v>
      </c>
    </row>
    <row r="40" spans="1:3" x14ac:dyDescent="0.2">
      <c r="A40">
        <v>2019</v>
      </c>
      <c r="B40">
        <v>55256</v>
      </c>
    </row>
    <row r="41" spans="1:3" x14ac:dyDescent="0.2">
      <c r="A41">
        <v>2020</v>
      </c>
      <c r="B41">
        <v>57411</v>
      </c>
      <c r="C41">
        <f t="shared" ref="C41:C43" si="4">(B41-B40)/B41*100</f>
        <v>3.7536360627754264</v>
      </c>
    </row>
    <row r="42" spans="1:3" x14ac:dyDescent="0.2">
      <c r="A42">
        <v>2021</v>
      </c>
      <c r="B42">
        <v>94680</v>
      </c>
      <c r="C42">
        <f t="shared" si="4"/>
        <v>39.363117870722434</v>
      </c>
    </row>
    <row r="43" spans="1:3" x14ac:dyDescent="0.2">
      <c r="A43">
        <v>2022</v>
      </c>
      <c r="B43">
        <v>99803</v>
      </c>
      <c r="C43">
        <f t="shared" si="4"/>
        <v>5.1331122310952573</v>
      </c>
    </row>
  </sheetData>
  <phoneticPr fontId="8" alignment="center"/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" zoomScaleNormal="150" zoomScaleSheetLayoutView="100" workbookViewId="0">
      <selection activeCell="H25" sqref="H25"/>
    </sheetView>
  </sheetViews>
  <sheetFormatPr defaultRowHeight="15" x14ac:dyDescent="0.2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77e3d22-4ea1-422d-b0ad-8fcc89406b9e}" enabled="0" method="" siteId="{377e3d22-4ea1-422d-b0ad-8fcc89406b9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Financial Statements</vt:lpstr>
      <vt:lpstr>List of Ratios</vt:lpstr>
      <vt:lpstr>Task 2</vt:lpstr>
      <vt:lpstr>Task 3 </vt:lpstr>
      <vt:lpstr>Task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2023-07-17T15:50:32Z</dcterms:modified>
</cp:coreProperties>
</file>