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C:\Users\syoos\Downloads\IA work\"/>
    </mc:Choice>
  </mc:AlternateContent>
  <xr:revisionPtr revIDLastSave="0" documentId="8_{695DBDA2-A970-46C6-A22E-C50D64E4D688}" xr6:coauthVersionLast="47" xr6:coauthVersionMax="47" xr10:uidLastSave="{00000000-0000-0000-0000-000000000000}"/>
  <bookViews>
    <workbookView xWindow="-108" yWindow="-108" windowWidth="23256" windowHeight="13896" activeTab="2" xr2:uid="{00000000-000D-0000-FFFF-FFFF00000000}"/>
  </bookViews>
  <sheets>
    <sheet name="Instructions" sheetId="2" r:id="rId1"/>
    <sheet name="Financial Statements" sheetId="1" r:id="rId2"/>
    <sheet name="List of Ratios"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D78" i="3" l="1"/>
  <c r="E78" i="3"/>
  <c r="C78" i="3"/>
  <c r="C63" i="3"/>
  <c r="D77" i="3"/>
  <c r="E77" i="3"/>
  <c r="C77" i="3"/>
  <c r="D74" i="3"/>
  <c r="E74" i="3"/>
  <c r="C74" i="3"/>
  <c r="D73" i="3"/>
  <c r="E73" i="3"/>
  <c r="C73" i="3"/>
  <c r="D72" i="3"/>
  <c r="E72" i="3"/>
  <c r="C72" i="3"/>
  <c r="D71" i="3"/>
  <c r="E71" i="3"/>
  <c r="C71" i="3"/>
  <c r="D70" i="3"/>
  <c r="E70" i="3"/>
  <c r="C70" i="3"/>
  <c r="D69" i="3"/>
  <c r="E69" i="3"/>
  <c r="C69" i="3"/>
  <c r="D68" i="3"/>
  <c r="E68" i="3"/>
  <c r="C68" i="3"/>
  <c r="C65" i="3"/>
  <c r="C64" i="3"/>
  <c r="C62" i="3"/>
  <c r="C60" i="3"/>
  <c r="C61" i="3"/>
  <c r="C59" i="3"/>
  <c r="C58" i="3"/>
  <c r="C57" i="3"/>
  <c r="C56" i="3"/>
  <c r="D26" i="3"/>
  <c r="E26" i="3"/>
  <c r="C26" i="3"/>
  <c r="D25" i="3"/>
  <c r="E25" i="3"/>
  <c r="C25" i="3"/>
  <c r="D76" i="3"/>
  <c r="E76" i="3"/>
  <c r="C76" i="3"/>
  <c r="D51" i="3"/>
  <c r="E51" i="3"/>
  <c r="C51" i="3"/>
  <c r="D45" i="3"/>
  <c r="D46" i="3" s="1"/>
  <c r="E45" i="3"/>
  <c r="E46" i="3" s="1"/>
  <c r="C45" i="3"/>
  <c r="C46" i="3" s="1"/>
  <c r="D43" i="3"/>
  <c r="D42" i="3" s="1"/>
  <c r="E43" i="3"/>
  <c r="E42" i="3" s="1"/>
  <c r="C43" i="3"/>
  <c r="C42" i="3" s="1"/>
  <c r="D35" i="3"/>
  <c r="E35" i="3"/>
  <c r="C35" i="3"/>
  <c r="D27" i="3"/>
  <c r="E27" i="3"/>
  <c r="C27" i="3"/>
  <c r="D31" i="3"/>
  <c r="D30" i="3" s="1"/>
  <c r="E31" i="3"/>
  <c r="E30" i="3" s="1"/>
  <c r="C31" i="3"/>
  <c r="C30" i="3" s="1"/>
  <c r="D19" i="3"/>
  <c r="D18" i="3" s="1"/>
  <c r="E19" i="3"/>
  <c r="C19" i="3"/>
  <c r="D49" i="3"/>
  <c r="E49" i="3"/>
  <c r="C49" i="3"/>
  <c r="D47" i="3"/>
  <c r="E47" i="3"/>
  <c r="C47" i="3"/>
  <c r="D44" i="3"/>
  <c r="E44" i="3"/>
  <c r="C44" i="3"/>
  <c r="D41" i="3"/>
  <c r="D40" i="3" s="1"/>
  <c r="E41" i="3"/>
  <c r="E40" i="3" s="1"/>
  <c r="C41" i="3"/>
  <c r="C40" i="3" s="1"/>
  <c r="D37" i="3"/>
  <c r="E37" i="3"/>
  <c r="C37" i="3"/>
  <c r="D36" i="3"/>
  <c r="E36" i="3"/>
  <c r="C36" i="3"/>
  <c r="D34" i="3"/>
  <c r="E34" i="3"/>
  <c r="C34" i="3"/>
  <c r="D22" i="3"/>
  <c r="E22" i="3"/>
  <c r="C22" i="3"/>
  <c r="C18" i="3"/>
  <c r="D21" i="3"/>
  <c r="D20" i="3" s="1"/>
  <c r="E21" i="3"/>
  <c r="E20" i="3" s="1"/>
  <c r="C21" i="3"/>
  <c r="C20" i="3" s="1"/>
  <c r="D17" i="3"/>
  <c r="E17" i="3"/>
  <c r="C17" i="3"/>
  <c r="D14" i="3"/>
  <c r="D13" i="3" s="1"/>
  <c r="E14" i="3"/>
  <c r="E13" i="3" s="1"/>
  <c r="C14" i="3"/>
  <c r="C13" i="3" s="1"/>
  <c r="D11" i="3"/>
  <c r="E11" i="3"/>
  <c r="C11" i="3"/>
  <c r="D10" i="3"/>
  <c r="E10" i="3"/>
  <c r="C10" i="3"/>
  <c r="D9" i="3"/>
  <c r="E9" i="3"/>
  <c r="C9" i="3"/>
  <c r="D8" i="3"/>
  <c r="E8" i="3"/>
  <c r="C8" i="3"/>
  <c r="D7" i="3"/>
  <c r="E7" i="3"/>
  <c r="C7" i="3"/>
  <c r="E6" i="3"/>
  <c r="D6" i="3"/>
  <c r="C6" i="3"/>
  <c r="D5" i="3"/>
  <c r="E5" i="3"/>
  <c r="C5" i="3"/>
  <c r="D108" i="1"/>
  <c r="C108" i="1"/>
  <c r="B108" i="1"/>
  <c r="D99" i="1"/>
  <c r="C99" i="1"/>
  <c r="B99" i="1"/>
  <c r="E50" i="3" l="1"/>
  <c r="C28" i="3"/>
  <c r="C48" i="3"/>
  <c r="C12" i="3"/>
  <c r="E12" i="3"/>
  <c r="E28" i="3"/>
  <c r="D28" i="3"/>
  <c r="E48" i="3"/>
  <c r="E18" i="3"/>
  <c r="D12" i="3"/>
  <c r="C29" i="3"/>
  <c r="D48" i="3"/>
  <c r="E29" i="3"/>
  <c r="D29" i="3"/>
  <c r="D50" i="3"/>
  <c r="C50" i="3"/>
  <c r="D68" i="1"/>
  <c r="C68" i="1"/>
  <c r="B68" i="1"/>
  <c r="D61" i="1"/>
  <c r="C61" i="1"/>
  <c r="B61" i="1"/>
  <c r="D56" i="1"/>
  <c r="C56" i="1"/>
  <c r="C62" i="1" s="1"/>
  <c r="B56" i="1"/>
  <c r="D47" i="1"/>
  <c r="C47" i="1"/>
  <c r="B47" i="1"/>
  <c r="D42" i="1"/>
  <c r="C42" i="1"/>
  <c r="B42" i="1"/>
  <c r="B48" i="1" s="1"/>
  <c r="D17" i="1"/>
  <c r="C17" i="1"/>
  <c r="B17" i="1"/>
  <c r="D12" i="1"/>
  <c r="C12" i="1"/>
  <c r="B12" i="1"/>
  <c r="D8" i="1"/>
  <c r="D13" i="1" s="1"/>
  <c r="D18" i="1" s="1"/>
  <c r="D20" i="1" s="1"/>
  <c r="D22" i="1" s="1"/>
  <c r="D76" i="1" s="1"/>
  <c r="D91" i="1" s="1"/>
  <c r="D109" i="1" s="1"/>
  <c r="C8" i="1"/>
  <c r="B8" i="1"/>
  <c r="E3" i="3"/>
  <c r="D3" i="3"/>
  <c r="C3" i="3"/>
  <c r="D33" i="1"/>
  <c r="D73" i="1" s="1"/>
  <c r="C33" i="1"/>
  <c r="C73" i="1" s="1"/>
  <c r="B33" i="1"/>
  <c r="B73" i="1" s="1"/>
  <c r="B13" i="1" l="1"/>
  <c r="C13" i="1"/>
  <c r="C18" i="1" s="1"/>
  <c r="C20" i="1" s="1"/>
  <c r="C22" i="1" s="1"/>
  <c r="C76" i="1" s="1"/>
  <c r="C91" i="1" s="1"/>
  <c r="C109" i="1" s="1"/>
  <c r="B62" i="1"/>
  <c r="B69" i="1" s="1"/>
  <c r="B18" i="1"/>
  <c r="B20" i="1" s="1"/>
  <c r="B22" i="1" s="1"/>
  <c r="B76" i="1" s="1"/>
  <c r="B91" i="1" s="1"/>
  <c r="B109" i="1" s="1"/>
  <c r="C48" i="1"/>
  <c r="D62" i="1"/>
  <c r="D69" i="1" s="1"/>
  <c r="C69" i="1"/>
  <c r="D48" i="1"/>
  <c r="A16" i="3"/>
  <c r="A17" i="3" s="1"/>
  <c r="A18" i="3" s="1"/>
  <c r="A20" i="3" s="1"/>
  <c r="A22" i="3" s="1"/>
  <c r="A5" i="3"/>
  <c r="A6" i="3" s="1"/>
  <c r="A7" i="3" s="1"/>
  <c r="A8" i="3" s="1"/>
  <c r="A9" i="3" s="1"/>
  <c r="A10" i="3" s="1"/>
  <c r="A11" i="3" s="1"/>
  <c r="A12" i="3" s="1"/>
  <c r="A13" i="3" s="1"/>
  <c r="A24" i="3" l="1"/>
  <c r="A25" i="3" s="1"/>
  <c r="A26" i="3" s="1"/>
  <c r="A27" i="3" s="1"/>
  <c r="A28" i="3" s="1"/>
  <c r="A29" i="3" s="1"/>
  <c r="A30" i="3" s="1"/>
  <c r="A33" i="3" l="1"/>
  <c r="A39" i="3"/>
  <c r="A40" i="3" s="1"/>
  <c r="A41" i="3" s="1"/>
  <c r="A42" i="3" s="1"/>
  <c r="A43" i="3" s="1"/>
  <c r="A44" i="3" s="1"/>
  <c r="A46" i="3" s="1"/>
  <c r="A34" i="3"/>
  <c r="A35" i="3" s="1"/>
  <c r="A36" i="3" s="1"/>
  <c r="A37" i="3" s="1"/>
</calcChain>
</file>

<file path=xl/sharedStrings.xml><?xml version="1.0" encoding="utf-8"?>
<sst xmlns="http://schemas.openxmlformats.org/spreadsheetml/2006/main" count="217" uniqueCount="175">
  <si>
    <t>Apple Inc.</t>
  </si>
  <si>
    <t>CONSOLIDATED STATEMENTS OF OPERATIONS</t>
  </si>
  <si>
    <t>(In millions, except number of shares which are reflected in thousands and per share amounts)</t>
  </si>
  <si>
    <t>Net sales:</t>
  </si>
  <si>
    <t>Products</t>
  </si>
  <si>
    <t>Services</t>
  </si>
  <si>
    <t>Total net sales</t>
  </si>
  <si>
    <t>Cost of sales:</t>
  </si>
  <si>
    <t>Total cost of sales</t>
  </si>
  <si>
    <t>Gross margin</t>
  </si>
  <si>
    <t>Operating expenses:</t>
  </si>
  <si>
    <t>Research and development</t>
  </si>
  <si>
    <t>Selling, general and administrative</t>
  </si>
  <si>
    <t>Total operating expenses</t>
  </si>
  <si>
    <t>Operating income</t>
  </si>
  <si>
    <t>Other income/(expense), net</t>
  </si>
  <si>
    <t>Income before provision for income taxes</t>
  </si>
  <si>
    <t>Provision for income taxes</t>
  </si>
  <si>
    <t>Net income</t>
  </si>
  <si>
    <t>Earnings per share:</t>
  </si>
  <si>
    <t>Basic</t>
  </si>
  <si>
    <t>Diluted</t>
  </si>
  <si>
    <t>Shares used in computing earnings per share:</t>
  </si>
  <si>
    <t>Years ended September,</t>
  </si>
  <si>
    <t>CONSOLIDATED BALANCE SHEETS</t>
  </si>
  <si>
    <t>Current assets:</t>
  </si>
  <si>
    <t>Cash and cash equivalents</t>
  </si>
  <si>
    <t>Marketable securities</t>
  </si>
  <si>
    <t>Accounts receivable, net</t>
  </si>
  <si>
    <t>Inventories</t>
  </si>
  <si>
    <t>Other current assets</t>
  </si>
  <si>
    <t>Total current assets</t>
  </si>
  <si>
    <t>Property, plant and equipment, net</t>
  </si>
  <si>
    <t>Total assets</t>
  </si>
  <si>
    <t>Current liabilities:</t>
  </si>
  <si>
    <t>Accounts payable</t>
  </si>
  <si>
    <t>Other current liabilities</t>
  </si>
  <si>
    <t>Deferred revenue</t>
  </si>
  <si>
    <t>Commercial paper</t>
  </si>
  <si>
    <t>Term debt</t>
  </si>
  <si>
    <t>Total current liabilities</t>
  </si>
  <si>
    <t>Total liabilities</t>
  </si>
  <si>
    <t>Shareholders’ equity:</t>
  </si>
  <si>
    <t>Retained earnings</t>
  </si>
  <si>
    <t>Accumulated other comprehensive income/(loss)</t>
  </si>
  <si>
    <t>Total shareholders’ equity</t>
  </si>
  <si>
    <t>Total liabilities and shareholders’ equity</t>
  </si>
  <si>
    <t>Vendor non trade receivables</t>
  </si>
  <si>
    <t>Non current assets:</t>
  </si>
  <si>
    <t>Other non current assets</t>
  </si>
  <si>
    <t>Total non current assets</t>
  </si>
  <si>
    <t>Non current liabilities:</t>
  </si>
  <si>
    <t>Other non current liabilities</t>
  </si>
  <si>
    <t>Total non current liabilities</t>
  </si>
  <si>
    <t>Common stock and additional paid in capital, $0.00001 par value: 12,600,000 shares authorized; 4,443,236 and 4,754,986 shares issued and outstanding, respectively</t>
  </si>
  <si>
    <t>CONSOLIDATED STATEMENTS OF CASH FLOWS</t>
  </si>
  <si>
    <t>Cash, cash equivalents and restricted cash, beginning balances</t>
  </si>
  <si>
    <t>Operating activities:</t>
  </si>
  <si>
    <t>Adjustments to reconcile net income to cash generated by operating</t>
  </si>
  <si>
    <t>Depreciation and amortization</t>
  </si>
  <si>
    <t>Deferred income tax expense/(benefit)</t>
  </si>
  <si>
    <t>Other</t>
  </si>
  <si>
    <t>Changes in operating assets and liabilities:</t>
  </si>
  <si>
    <t>Cash generated by operating activities</t>
  </si>
  <si>
    <t>Investing activities:</t>
  </si>
  <si>
    <t>Purchases of marketable securities</t>
  </si>
  <si>
    <t>Proceeds from maturities of marketable securities</t>
  </si>
  <si>
    <t>Proceeds from sales of marketable securities</t>
  </si>
  <si>
    <t>Payments for acquisition of property, plant and equipment</t>
  </si>
  <si>
    <t>Payments made in connection with business acquisitions, net</t>
  </si>
  <si>
    <t>Cash generated by/(used in) investing activities</t>
  </si>
  <si>
    <t>Financing activities:</t>
  </si>
  <si>
    <t>Payments for dividends and dividend equivalents</t>
  </si>
  <si>
    <t>Repurchases of common stock</t>
  </si>
  <si>
    <t>Proceeds from issuance of term debt, net</t>
  </si>
  <si>
    <t>Repayments of term debt</t>
  </si>
  <si>
    <t>Proceeds from/(Repayments of) commercial paper, net</t>
  </si>
  <si>
    <t>Cash used in financing activities</t>
  </si>
  <si>
    <t>Increase/(Decrease) in cash, cash equivalents and restricted</t>
  </si>
  <si>
    <t>Cash, cash equivalents and restricted cash, ending balances</t>
  </si>
  <si>
    <t>Supplemental cash flow disclosure:</t>
  </si>
  <si>
    <t>Cash paid for income taxes, net</t>
  </si>
  <si>
    <t>Cash paid for interest</t>
  </si>
  <si>
    <t>Share based compensation expense</t>
  </si>
  <si>
    <t>Other current and non current assets</t>
  </si>
  <si>
    <t>Other current and non current liabilities</t>
  </si>
  <si>
    <t>Payments for taxes related to net share settlement of equity awards</t>
  </si>
  <si>
    <t>Instructions</t>
  </si>
  <si>
    <t>https://investor.apple.com/investor-relations/default.aspx</t>
  </si>
  <si>
    <t>Gross profits</t>
  </si>
  <si>
    <t>Each operating expenses</t>
  </si>
  <si>
    <t>Main line items of the balance sheet</t>
  </si>
  <si>
    <t>You are required to calculate margins/ as a % of net sales for the following:</t>
  </si>
  <si>
    <t>Net profit</t>
  </si>
  <si>
    <t>Income tax rate</t>
  </si>
  <si>
    <t>Capex as a percentage of sales</t>
  </si>
  <si>
    <t>Capex as a percentage of fixed assets</t>
  </si>
  <si>
    <t>You are required to perform a ratio analysis in excel using the information provided from this financial statements</t>
  </si>
  <si>
    <t>You are required to calculate the following additional items</t>
  </si>
  <si>
    <t>Liquidity</t>
  </si>
  <si>
    <t>Current ratio</t>
  </si>
  <si>
    <t>Quick Ratio</t>
  </si>
  <si>
    <t>Cash Ratio</t>
  </si>
  <si>
    <t>Defensive Interval</t>
  </si>
  <si>
    <t>Inventory Days</t>
  </si>
  <si>
    <t>Payable Days</t>
  </si>
  <si>
    <t>Receivable Days</t>
  </si>
  <si>
    <t>Net trading cycle</t>
  </si>
  <si>
    <t>Working Capital as a % of Sales</t>
  </si>
  <si>
    <t>Working Capital</t>
  </si>
  <si>
    <t>Profitability</t>
  </si>
  <si>
    <t>EBITDA margin</t>
  </si>
  <si>
    <t>EBITDA</t>
  </si>
  <si>
    <t>EBIT margin</t>
  </si>
  <si>
    <t>EBIT</t>
  </si>
  <si>
    <t>Net margin</t>
  </si>
  <si>
    <t>Solvency/ debt management</t>
  </si>
  <si>
    <t>Debt to equity (D/E)</t>
  </si>
  <si>
    <t>Debt to total assets</t>
  </si>
  <si>
    <t>Long-term debt to capital</t>
  </si>
  <si>
    <t>Times interest earned</t>
  </si>
  <si>
    <t>Debt coverage</t>
  </si>
  <si>
    <t>Free cash flow (FCFE) per share</t>
  </si>
  <si>
    <t>FCFE</t>
  </si>
  <si>
    <t>Asset utilization</t>
  </si>
  <si>
    <t>Total asset turnover</t>
  </si>
  <si>
    <t>Fixed asset turnover</t>
  </si>
  <si>
    <t>Inventory turnover</t>
  </si>
  <si>
    <t>Return on assets (ROA)</t>
  </si>
  <si>
    <t>Investor/market ratios</t>
  </si>
  <si>
    <t>Price to equity (P/E)</t>
  </si>
  <si>
    <t>Earnings per share (EPS)</t>
  </si>
  <si>
    <t>Price to book value (PBV)</t>
  </si>
  <si>
    <t>Book value per share (BV)</t>
  </si>
  <si>
    <t>Dividend payout ratio</t>
  </si>
  <si>
    <t>Dividend per share</t>
  </si>
  <si>
    <t>Dividend yield</t>
  </si>
  <si>
    <t>Return on equity (ROE)</t>
  </si>
  <si>
    <t>Return on capital employed (ROCE)</t>
  </si>
  <si>
    <t>Enterprise value to EBITDA (EV/EBITDA)</t>
  </si>
  <si>
    <t>Enterprise value (EV)</t>
  </si>
  <si>
    <t>Sheet contains the financial statements of Apple Inc. extracted from the most recent annual report:</t>
  </si>
  <si>
    <t>As at September,</t>
  </si>
  <si>
    <t>https://www.bloomberg.com/quote/AAPL:US</t>
  </si>
  <si>
    <t>* Market information like share price should be obtained from bloomberg.com from the particular day's closing price</t>
  </si>
  <si>
    <t>Sales (each category and net sales)</t>
  </si>
  <si>
    <t>COGS (Cost of goods sold)</t>
  </si>
  <si>
    <t>All of the above ratios should be calculated in the "List of Ratios" tab</t>
  </si>
  <si>
    <t>The ratios that should be calculated are listed in the ratios tab</t>
  </si>
  <si>
    <t>In addition to the above, you are required to calculate the growth rates for the following:</t>
  </si>
  <si>
    <t>Include only term debt for Debt figure, since differed revenue is not an actual form of capital</t>
  </si>
  <si>
    <t>EBIT/ (Interest + Debt repayment), interest can be found at the bottom of cash flow, debt repayment can be found in the cash flow statement</t>
  </si>
  <si>
    <t>FCFE/Diluted number of shares</t>
  </si>
  <si>
    <t>Fixed asset should be only property plant and equipment</t>
  </si>
  <si>
    <t>Total shareholder equity/Diluted number of shares. Diluted number of shares can be found at the bottom of income statement. Note that the three statements are reported in millions while the share count is reported in absolute number, so divide share count by 1000 within brackets</t>
  </si>
  <si>
    <t>Dividends paid/Diluted number of shares. Diluted number of shares can be found at the bottom of income statement. Note that the three statements are reported in millions while the share count is reported in absolute number, so divide share count by 1000 within brackets</t>
  </si>
  <si>
    <t xml:space="preserve"> Capital employed = Term debt + Total shareholder equity</t>
  </si>
  <si>
    <t>Market cap = Share price * Diluted number of shares. Note that the three statements are reported in millions while the share count is reported in absolute number, so divide share count by 1000 within brackets</t>
  </si>
  <si>
    <t>Feedback</t>
  </si>
  <si>
    <t xml:space="preserve"> </t>
  </si>
  <si>
    <t>Growth rates</t>
  </si>
  <si>
    <t>Research and development expenses</t>
  </si>
  <si>
    <t>Sales, general and administrative expenses</t>
  </si>
  <si>
    <t>Products sales</t>
  </si>
  <si>
    <t>Services sales</t>
  </si>
  <si>
    <t>Total shareholder's equity</t>
  </si>
  <si>
    <t>Margins as % of net sales</t>
  </si>
  <si>
    <t>Capex as % of sales</t>
  </si>
  <si>
    <t>Remove the current portion of the term debt (row 55)</t>
  </si>
  <si>
    <t>Tax in income statement/PBT</t>
  </si>
  <si>
    <t>Remove multiplication by 100 and use the % formatting instead</t>
  </si>
  <si>
    <t>Capex/Property plant and equipment</t>
  </si>
  <si>
    <t>Capex as % of fixed assets</t>
  </si>
  <si>
    <t>Remove row 55 from the formula, only the non-current term debt should be considered Capital</t>
  </si>
  <si>
    <t>Market Cap + Total Debt - (Cash + Cash Equivalents), Where market cap=Share price* (diluted number of shares/1000)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</si>
</sst>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00_);_(* \(#,##0.00\);_(* &quot;-&quot;??_);_(@_)"/>
    <numFmt numFmtId="165" formatCode="_(* #,##0_);_(* \(#,##0\);_(* &quot;-&quot;??_);_(@_)"/>
    <numFmt numFmtId="166" formatCode="0.0"/>
  </numFmts>
  <fonts count="10"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18"/>
      <color theme="0"/>
      <name val="Calibri"/>
      <family val="2"/>
      <scheme val="minor"/>
    </font>
    <font>
      <b/>
      <sz val="20"/>
      <color theme="0"/>
      <name val="Calibri"/>
      <family val="2"/>
      <scheme val="minor"/>
    </font>
    <font>
      <u/>
      <sz val="11"/>
      <color theme="10"/>
      <name val="Calibri"/>
      <family val="2"/>
      <scheme val="minor"/>
    </font>
    <font>
      <sz val="20"/>
      <color theme="0"/>
      <name val="Calibri"/>
      <family val="2"/>
      <scheme val="minor"/>
    </font>
    <font>
      <sz val="11"/>
      <color rgb="FF000000"/>
      <name val="Calibri"/>
      <family val="2"/>
      <charset val="1"/>
    </font>
    <font>
      <sz val="14"/>
      <color theme="0"/>
      <name val="Calibri"/>
      <family val="2"/>
      <scheme val="minor"/>
    </font>
  </fonts>
  <fills count="5">
    <fill>
      <patternFill patternType="none"/>
    </fill>
    <fill>
      <patternFill patternType="gray125"/>
    </fill>
    <fill>
      <patternFill patternType="solid">
        <fgColor rgb="FF002060"/>
        <bgColor indexed="64"/>
      </patternFill>
    </fill>
    <fill>
      <patternFill patternType="solid">
        <fgColor theme="3" tint="0.59999389629810485"/>
        <bgColor indexed="64"/>
      </patternFill>
    </fill>
    <fill>
      <patternFill patternType="solid">
        <fgColor theme="9" tint="0.79998168889431442"/>
        <bgColor indexed="64"/>
      </patternFill>
    </fill>
  </fills>
  <borders count="4">
    <border>
      <left/>
      <right/>
      <top/>
      <bottom/>
      <diagonal/>
    </border>
    <border>
      <left/>
      <right/>
      <top style="thin">
        <color indexed="64"/>
      </top>
      <bottom/>
      <diagonal/>
    </border>
    <border>
      <left/>
      <right/>
      <top style="thin">
        <color indexed="64"/>
      </top>
      <bottom style="double">
        <color indexed="64"/>
      </bottom>
      <diagonal/>
    </border>
    <border>
      <left/>
      <right/>
      <top style="thin">
        <color indexed="64"/>
      </top>
      <bottom style="thin">
        <color indexed="64"/>
      </bottom>
      <diagonal/>
    </border>
  </borders>
  <cellStyleXfs count="5">
    <xf numFmtId="0" fontId="0" fillId="0" borderId="0"/>
    <xf numFmtId="164" fontId="1" fillId="0" borderId="0" applyFont="0" applyFill="0" applyBorder="0" applyAlignment="0" applyProtection="0"/>
    <xf numFmtId="0" fontId="6" fillId="0" borderId="0" applyNumberFormat="0" applyFill="0" applyBorder="0" applyAlignment="0" applyProtection="0"/>
    <xf numFmtId="9" fontId="1" fillId="0" borderId="0" applyFont="0" applyFill="0" applyBorder="0" applyAlignment="0" applyProtection="0"/>
    <xf numFmtId="0" fontId="8" fillId="0" borderId="0"/>
  </cellStyleXfs>
  <cellXfs count="36">
    <xf numFmtId="0" fontId="0" fillId="0" borderId="0" xfId="0"/>
    <xf numFmtId="0" fontId="0" fillId="0" borderId="0" xfId="0" applyAlignment="1">
      <alignment horizontal="left" indent="1"/>
    </xf>
    <xf numFmtId="3" fontId="0" fillId="0" borderId="0" xfId="0" applyNumberFormat="1"/>
    <xf numFmtId="0" fontId="0" fillId="0" borderId="0" xfId="0" applyAlignment="1">
      <alignment horizontal="left" indent="2"/>
    </xf>
    <xf numFmtId="0" fontId="3" fillId="2" borderId="0" xfId="0" applyFont="1" applyFill="1"/>
    <xf numFmtId="0" fontId="4" fillId="2" borderId="0" xfId="0" applyFont="1" applyFill="1"/>
    <xf numFmtId="0" fontId="5" fillId="2" borderId="0" xfId="0" applyFont="1" applyFill="1" applyAlignment="1">
      <alignment vertical="center"/>
    </xf>
    <xf numFmtId="0" fontId="2" fillId="0" borderId="0" xfId="0" applyFont="1"/>
    <xf numFmtId="0" fontId="2" fillId="0" borderId="1" xfId="0" applyFont="1" applyBorder="1"/>
    <xf numFmtId="0" fontId="2" fillId="0" borderId="2" xfId="0" applyFont="1" applyBorder="1"/>
    <xf numFmtId="0" fontId="0" fillId="4" borderId="0" xfId="0" applyFill="1"/>
    <xf numFmtId="0" fontId="2" fillId="0" borderId="0" xfId="0" applyFont="1" applyAlignment="1">
      <alignment horizontal="left" indent="1"/>
    </xf>
    <xf numFmtId="165" fontId="0" fillId="0" borderId="0" xfId="1" applyNumberFormat="1" applyFont="1"/>
    <xf numFmtId="165" fontId="2" fillId="0" borderId="1" xfId="1" applyNumberFormat="1" applyFont="1" applyBorder="1"/>
    <xf numFmtId="165" fontId="2" fillId="0" borderId="2" xfId="1" applyNumberFormat="1" applyFont="1" applyBorder="1"/>
    <xf numFmtId="165" fontId="2" fillId="0" borderId="0" xfId="1" applyNumberFormat="1" applyFont="1"/>
    <xf numFmtId="0" fontId="6" fillId="0" borderId="0" xfId="2" applyAlignment="1">
      <alignment horizontal="left" indent="1"/>
    </xf>
    <xf numFmtId="0" fontId="2" fillId="0" borderId="0" xfId="0" applyFont="1" applyAlignment="1">
      <alignment horizontal="left"/>
    </xf>
    <xf numFmtId="166" fontId="0" fillId="0" borderId="0" xfId="0" applyNumberFormat="1"/>
    <xf numFmtId="0" fontId="3" fillId="2" borderId="0" xfId="0" applyFont="1" applyFill="1" applyAlignment="1">
      <alignment horizontal="center"/>
    </xf>
    <xf numFmtId="0" fontId="7" fillId="2" borderId="0" xfId="0" applyFont="1" applyFill="1" applyAlignment="1">
      <alignment horizontal="left"/>
    </xf>
    <xf numFmtId="165" fontId="0" fillId="0" borderId="3" xfId="1" applyNumberFormat="1" applyFont="1" applyBorder="1"/>
    <xf numFmtId="0" fontId="2" fillId="0" borderId="3" xfId="0" applyFont="1" applyBorder="1" applyAlignment="1">
      <alignment horizontal="left"/>
    </xf>
    <xf numFmtId="165" fontId="0" fillId="0" borderId="0" xfId="0" applyNumberFormat="1"/>
    <xf numFmtId="164" fontId="0" fillId="0" borderId="0" xfId="1" applyFont="1"/>
    <xf numFmtId="2" fontId="0" fillId="0" borderId="0" xfId="0" applyNumberFormat="1"/>
    <xf numFmtId="10" fontId="0" fillId="0" borderId="0" xfId="3" applyNumberFormat="1" applyFont="1"/>
    <xf numFmtId="0" fontId="8" fillId="0" borderId="0" xfId="4"/>
    <xf numFmtId="43" fontId="0" fillId="0" borderId="0" xfId="0" applyNumberFormat="1"/>
    <xf numFmtId="0" fontId="9" fillId="2" borderId="0" xfId="0" applyFont="1" applyFill="1" applyAlignment="1">
      <alignment horizontal="center"/>
    </xf>
    <xf numFmtId="0" fontId="2" fillId="0" borderId="0" xfId="0" applyFont="1" applyAlignment="1">
      <alignment horizontal="center"/>
    </xf>
    <xf numFmtId="1" fontId="0" fillId="0" borderId="0" xfId="0" applyNumberFormat="1"/>
    <xf numFmtId="0" fontId="0" fillId="0" borderId="0" xfId="0" applyAlignment="1">
      <alignment horizontal="left"/>
    </xf>
    <xf numFmtId="9" fontId="0" fillId="0" borderId="0" xfId="3" applyFont="1"/>
    <xf numFmtId="0" fontId="2" fillId="0" borderId="0" xfId="0" applyFont="1" applyAlignment="1">
      <alignment horizontal="center"/>
    </xf>
    <xf numFmtId="0" fontId="2" fillId="3" borderId="0" xfId="0" applyFont="1" applyFill="1" applyAlignment="1">
      <alignment horizontal="center"/>
    </xf>
  </cellXfs>
  <cellStyles count="5">
    <cellStyle name="Comma" xfId="1" builtinId="3"/>
    <cellStyle name="Hyperlink" xfId="2" builtinId="8"/>
    <cellStyle name="Normal" xfId="0" builtinId="0"/>
    <cellStyle name="Normal 2" xfId="4" xr:uid="{578FD7E0-5813-4AB1-8D1B-F6AFDFDC7E34}"/>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bloomberg.com/quote/AAPL:US" TargetMode="External"/><Relationship Id="rId1" Type="http://schemas.openxmlformats.org/officeDocument/2006/relationships/hyperlink" Target="https://investor.apple.com/investor-relations/default.asp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29"/>
  <sheetViews>
    <sheetView workbookViewId="0">
      <selection activeCell="B1" sqref="B1"/>
    </sheetView>
  </sheetViews>
  <sheetFormatPr defaultColWidth="8.77734375" defaultRowHeight="14.4" x14ac:dyDescent="0.3"/>
  <cols>
    <col min="1" max="1" width="104.44140625" customWidth="1"/>
  </cols>
  <sheetData>
    <row r="1" spans="1:1" ht="23.4" x14ac:dyDescent="0.45">
      <c r="A1" s="5" t="s">
        <v>87</v>
      </c>
    </row>
    <row r="3" spans="1:1" x14ac:dyDescent="0.3">
      <c r="A3" s="7" t="s">
        <v>141</v>
      </c>
    </row>
    <row r="4" spans="1:1" x14ac:dyDescent="0.3">
      <c r="A4" s="16" t="s">
        <v>88</v>
      </c>
    </row>
    <row r="5" spans="1:1" x14ac:dyDescent="0.3">
      <c r="A5" s="7" t="s">
        <v>97</v>
      </c>
    </row>
    <row r="6" spans="1:1" x14ac:dyDescent="0.3">
      <c r="A6" s="1" t="s">
        <v>148</v>
      </c>
    </row>
    <row r="7" spans="1:1" x14ac:dyDescent="0.3">
      <c r="A7" s="1"/>
    </row>
    <row r="8" spans="1:1" x14ac:dyDescent="0.3">
      <c r="A8" s="17" t="s">
        <v>149</v>
      </c>
    </row>
    <row r="9" spans="1:1" x14ac:dyDescent="0.3">
      <c r="A9" s="1" t="s">
        <v>145</v>
      </c>
    </row>
    <row r="10" spans="1:1" x14ac:dyDescent="0.3">
      <c r="A10" s="1" t="s">
        <v>89</v>
      </c>
    </row>
    <row r="11" spans="1:1" x14ac:dyDescent="0.3">
      <c r="A11" s="1" t="s">
        <v>90</v>
      </c>
    </row>
    <row r="12" spans="1:1" x14ac:dyDescent="0.3">
      <c r="A12" s="1" t="s">
        <v>91</v>
      </c>
    </row>
    <row r="13" spans="1:1" x14ac:dyDescent="0.3">
      <c r="A13" s="1"/>
    </row>
    <row r="14" spans="1:1" x14ac:dyDescent="0.3">
      <c r="A14" s="17" t="s">
        <v>92</v>
      </c>
    </row>
    <row r="15" spans="1:1" x14ac:dyDescent="0.3">
      <c r="A15" s="1" t="s">
        <v>146</v>
      </c>
    </row>
    <row r="16" spans="1:1" x14ac:dyDescent="0.3">
      <c r="A16" s="1" t="s">
        <v>89</v>
      </c>
    </row>
    <row r="17" spans="1:1" x14ac:dyDescent="0.3">
      <c r="A17" s="1" t="s">
        <v>90</v>
      </c>
    </row>
    <row r="18" spans="1:1" x14ac:dyDescent="0.3">
      <c r="A18" s="1" t="s">
        <v>14</v>
      </c>
    </row>
    <row r="19" spans="1:1" x14ac:dyDescent="0.3">
      <c r="A19" s="1" t="s">
        <v>93</v>
      </c>
    </row>
    <row r="20" spans="1:1" x14ac:dyDescent="0.3">
      <c r="A20" s="1"/>
    </row>
    <row r="21" spans="1:1" x14ac:dyDescent="0.3">
      <c r="A21" s="17" t="s">
        <v>98</v>
      </c>
    </row>
    <row r="22" spans="1:1" x14ac:dyDescent="0.3">
      <c r="A22" s="1" t="s">
        <v>94</v>
      </c>
    </row>
    <row r="23" spans="1:1" x14ac:dyDescent="0.3">
      <c r="A23" s="1" t="s">
        <v>95</v>
      </c>
    </row>
    <row r="24" spans="1:1" x14ac:dyDescent="0.3">
      <c r="A24" s="1" t="s">
        <v>96</v>
      </c>
    </row>
    <row r="25" spans="1:1" x14ac:dyDescent="0.3">
      <c r="A25" s="1"/>
    </row>
    <row r="26" spans="1:1" x14ac:dyDescent="0.3">
      <c r="A26" s="17" t="s">
        <v>144</v>
      </c>
    </row>
    <row r="27" spans="1:1" x14ac:dyDescent="0.3">
      <c r="A27" s="16" t="s">
        <v>143</v>
      </c>
    </row>
    <row r="29" spans="1:1" x14ac:dyDescent="0.3">
      <c r="A29" s="7" t="s">
        <v>147</v>
      </c>
    </row>
  </sheetData>
  <hyperlinks>
    <hyperlink ref="A4" r:id="rId1" xr:uid="{00000000-0004-0000-0000-000000000000}"/>
    <hyperlink ref="A27" r:id="rId2" xr:uid="{00000000-0004-0000-0000-000001000000}"/>
  </hyperlinks>
  <pageMargins left="0.7" right="0.7" top="0.75" bottom="0.75" header="0.3" footer="0.3"/>
  <pageSetup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114"/>
  <sheetViews>
    <sheetView workbookViewId="0">
      <selection activeCell="D68" sqref="D68"/>
    </sheetView>
  </sheetViews>
  <sheetFormatPr defaultColWidth="8.77734375" defaultRowHeight="14.4" x14ac:dyDescent="0.3"/>
  <cols>
    <col min="1" max="1" width="59" customWidth="1"/>
    <col min="2" max="3" width="11.44140625" bestFit="1" customWidth="1"/>
    <col min="4" max="4" width="11.6640625" bestFit="1" customWidth="1"/>
    <col min="5" max="10" width="8.77734375" customWidth="1"/>
  </cols>
  <sheetData>
    <row r="1" spans="1:10" ht="60" customHeight="1" x14ac:dyDescent="0.3">
      <c r="A1" s="6" t="s">
        <v>0</v>
      </c>
      <c r="B1" s="4" t="s">
        <v>2</v>
      </c>
      <c r="C1" s="4"/>
      <c r="D1" s="4"/>
      <c r="E1" s="4"/>
      <c r="F1" s="4"/>
      <c r="G1" s="4"/>
      <c r="H1" s="4"/>
      <c r="I1" s="4"/>
      <c r="J1" s="4"/>
    </row>
    <row r="2" spans="1:10" x14ac:dyDescent="0.3">
      <c r="A2" s="35" t="s">
        <v>1</v>
      </c>
      <c r="B2" s="35"/>
      <c r="C2" s="35"/>
      <c r="D2" s="35"/>
    </row>
    <row r="3" spans="1:10" x14ac:dyDescent="0.3">
      <c r="B3" s="34" t="s">
        <v>23</v>
      </c>
      <c r="C3" s="34"/>
      <c r="D3" s="34"/>
    </row>
    <row r="4" spans="1:10" x14ac:dyDescent="0.3">
      <c r="B4" s="7">
        <v>2022</v>
      </c>
      <c r="C4" s="7">
        <v>2021</v>
      </c>
      <c r="D4" s="7">
        <v>2020</v>
      </c>
    </row>
    <row r="5" spans="1:10" x14ac:dyDescent="0.3">
      <c r="A5" t="s">
        <v>3</v>
      </c>
    </row>
    <row r="6" spans="1:10" x14ac:dyDescent="0.3">
      <c r="A6" s="1" t="s">
        <v>4</v>
      </c>
      <c r="B6" s="12">
        <v>316199</v>
      </c>
      <c r="C6" s="12">
        <v>297392</v>
      </c>
      <c r="D6" s="12">
        <v>220747</v>
      </c>
    </row>
    <row r="7" spans="1:10" x14ac:dyDescent="0.3">
      <c r="A7" s="1" t="s">
        <v>5</v>
      </c>
      <c r="B7" s="12">
        <v>78129</v>
      </c>
      <c r="C7" s="12">
        <v>68425</v>
      </c>
      <c r="D7" s="12">
        <v>53768</v>
      </c>
    </row>
    <row r="8" spans="1:10" x14ac:dyDescent="0.3">
      <c r="A8" s="8" t="s">
        <v>6</v>
      </c>
      <c r="B8" s="13">
        <f>+B6+B7</f>
        <v>394328</v>
      </c>
      <c r="C8" s="13">
        <f t="shared" ref="C8:D8" si="0">+C6+C7</f>
        <v>365817</v>
      </c>
      <c r="D8" s="13">
        <f t="shared" si="0"/>
        <v>274515</v>
      </c>
    </row>
    <row r="9" spans="1:10" x14ac:dyDescent="0.3">
      <c r="A9" t="s">
        <v>7</v>
      </c>
      <c r="B9" s="12"/>
      <c r="C9" s="12"/>
      <c r="D9" s="12"/>
    </row>
    <row r="10" spans="1:10" x14ac:dyDescent="0.3">
      <c r="A10" s="1" t="s">
        <v>4</v>
      </c>
      <c r="B10" s="12">
        <v>201471</v>
      </c>
      <c r="C10" s="12">
        <v>192266</v>
      </c>
      <c r="D10" s="12">
        <v>151286</v>
      </c>
    </row>
    <row r="11" spans="1:10" x14ac:dyDescent="0.3">
      <c r="A11" s="1" t="s">
        <v>5</v>
      </c>
      <c r="B11" s="12">
        <v>22075</v>
      </c>
      <c r="C11" s="12">
        <v>20715</v>
      </c>
      <c r="D11" s="12">
        <v>18273</v>
      </c>
    </row>
    <row r="12" spans="1:10" x14ac:dyDescent="0.3">
      <c r="A12" s="8" t="s">
        <v>8</v>
      </c>
      <c r="B12" s="13">
        <f>+B10+B11</f>
        <v>223546</v>
      </c>
      <c r="C12" s="13">
        <f t="shared" ref="C12:D12" si="1">+C10+C11</f>
        <v>212981</v>
      </c>
      <c r="D12" s="13">
        <f t="shared" si="1"/>
        <v>169559</v>
      </c>
    </row>
    <row r="13" spans="1:10" x14ac:dyDescent="0.3">
      <c r="A13" s="8" t="s">
        <v>9</v>
      </c>
      <c r="B13" s="13">
        <f>+B8-B12</f>
        <v>170782</v>
      </c>
      <c r="C13" s="13">
        <f t="shared" ref="C13:D13" si="2">+C8-C12</f>
        <v>152836</v>
      </c>
      <c r="D13" s="13">
        <f t="shared" si="2"/>
        <v>104956</v>
      </c>
    </row>
    <row r="14" spans="1:10" x14ac:dyDescent="0.3">
      <c r="A14" t="s">
        <v>10</v>
      </c>
      <c r="B14" s="12"/>
      <c r="C14" s="12"/>
      <c r="D14" s="12"/>
      <c r="H14" s="23"/>
      <c r="I14" s="23"/>
      <c r="J14" s="23"/>
    </row>
    <row r="15" spans="1:10" x14ac:dyDescent="0.3">
      <c r="A15" s="1" t="s">
        <v>11</v>
      </c>
      <c r="B15" s="12">
        <v>26251</v>
      </c>
      <c r="C15" s="12">
        <v>21914</v>
      </c>
      <c r="D15" s="12">
        <v>18752</v>
      </c>
    </row>
    <row r="16" spans="1:10" x14ac:dyDescent="0.3">
      <c r="A16" s="1" t="s">
        <v>12</v>
      </c>
      <c r="B16" s="12">
        <v>25094</v>
      </c>
      <c r="C16" s="12">
        <v>21973</v>
      </c>
      <c r="D16" s="12">
        <v>19916</v>
      </c>
    </row>
    <row r="17" spans="1:4" x14ac:dyDescent="0.3">
      <c r="A17" s="8" t="s">
        <v>13</v>
      </c>
      <c r="B17" s="13">
        <f>+B15+B16</f>
        <v>51345</v>
      </c>
      <c r="C17" s="13">
        <f t="shared" ref="C17" si="3">+C15+C16</f>
        <v>43887</v>
      </c>
      <c r="D17" s="13">
        <f t="shared" ref="D17" si="4">+D15+D16</f>
        <v>38668</v>
      </c>
    </row>
    <row r="18" spans="1:4" s="7" customFormat="1" x14ac:dyDescent="0.3">
      <c r="A18" s="8" t="s">
        <v>14</v>
      </c>
      <c r="B18" s="13">
        <f>+B13-B17</f>
        <v>119437</v>
      </c>
      <c r="C18" s="13">
        <f t="shared" ref="C18:D18" si="5">+C13-C17</f>
        <v>108949</v>
      </c>
      <c r="D18" s="13">
        <f t="shared" si="5"/>
        <v>66288</v>
      </c>
    </row>
    <row r="19" spans="1:4" x14ac:dyDescent="0.3">
      <c r="A19" t="s">
        <v>15</v>
      </c>
      <c r="B19" s="12">
        <v>-334</v>
      </c>
      <c r="C19" s="12">
        <v>258</v>
      </c>
      <c r="D19" s="12">
        <v>803</v>
      </c>
    </row>
    <row r="20" spans="1:4" x14ac:dyDescent="0.3">
      <c r="A20" s="8" t="s">
        <v>16</v>
      </c>
      <c r="B20" s="13">
        <f>+B18+B19</f>
        <v>119103</v>
      </c>
      <c r="C20" s="13">
        <f t="shared" ref="C20:D20" si="6">+C18+C19</f>
        <v>109207</v>
      </c>
      <c r="D20" s="13">
        <f t="shared" si="6"/>
        <v>67091</v>
      </c>
    </row>
    <row r="21" spans="1:4" x14ac:dyDescent="0.3">
      <c r="A21" t="s">
        <v>17</v>
      </c>
      <c r="B21" s="12">
        <v>19300</v>
      </c>
      <c r="C21" s="12">
        <v>14527</v>
      </c>
      <c r="D21" s="12">
        <v>9680</v>
      </c>
    </row>
    <row r="22" spans="1:4" ht="15" thickBot="1" x14ac:dyDescent="0.35">
      <c r="A22" s="9" t="s">
        <v>18</v>
      </c>
      <c r="B22" s="14">
        <f>+B20-B21</f>
        <v>99803</v>
      </c>
      <c r="C22" s="14">
        <f t="shared" ref="C22:D22" si="7">+C20-C21</f>
        <v>94680</v>
      </c>
      <c r="D22" s="14">
        <f t="shared" si="7"/>
        <v>57411</v>
      </c>
    </row>
    <row r="23" spans="1:4" ht="15" thickTop="1" x14ac:dyDescent="0.3">
      <c r="A23" t="s">
        <v>19</v>
      </c>
    </row>
    <row r="24" spans="1:4" x14ac:dyDescent="0.3">
      <c r="A24" s="1" t="s">
        <v>20</v>
      </c>
      <c r="B24" s="10">
        <v>6.15</v>
      </c>
      <c r="C24" s="10">
        <v>5.67</v>
      </c>
      <c r="D24" s="10">
        <v>3.31</v>
      </c>
    </row>
    <row r="25" spans="1:4" x14ac:dyDescent="0.3">
      <c r="A25" s="1" t="s">
        <v>21</v>
      </c>
      <c r="B25" s="10">
        <v>6.11</v>
      </c>
      <c r="C25" s="10">
        <v>5.61</v>
      </c>
      <c r="D25" s="10">
        <v>3.28</v>
      </c>
    </row>
    <row r="26" spans="1:4" x14ac:dyDescent="0.3">
      <c r="A26" t="s">
        <v>22</v>
      </c>
    </row>
    <row r="27" spans="1:4" x14ac:dyDescent="0.3">
      <c r="A27" s="1" t="s">
        <v>20</v>
      </c>
      <c r="B27" s="2">
        <v>16215963</v>
      </c>
      <c r="C27" s="2">
        <v>16701272</v>
      </c>
      <c r="D27" s="2">
        <v>17352119</v>
      </c>
    </row>
    <row r="28" spans="1:4" x14ac:dyDescent="0.3">
      <c r="A28" s="1" t="s">
        <v>21</v>
      </c>
      <c r="B28" s="2">
        <v>16325819</v>
      </c>
      <c r="C28" s="2">
        <v>16864919</v>
      </c>
      <c r="D28" s="2">
        <v>17528214</v>
      </c>
    </row>
    <row r="31" spans="1:4" x14ac:dyDescent="0.3">
      <c r="A31" s="35" t="s">
        <v>24</v>
      </c>
      <c r="B31" s="35"/>
      <c r="C31" s="35"/>
      <c r="D31" s="35"/>
    </row>
    <row r="32" spans="1:4" x14ac:dyDescent="0.3">
      <c r="B32" s="34" t="s">
        <v>142</v>
      </c>
      <c r="C32" s="34"/>
      <c r="D32" s="34"/>
    </row>
    <row r="33" spans="1:4" x14ac:dyDescent="0.3">
      <c r="B33" s="7">
        <f>+B4</f>
        <v>2022</v>
      </c>
      <c r="C33" s="7">
        <f t="shared" ref="C33:D33" si="8">+C4</f>
        <v>2021</v>
      </c>
      <c r="D33" s="7">
        <f t="shared" si="8"/>
        <v>2020</v>
      </c>
    </row>
    <row r="35" spans="1:4" x14ac:dyDescent="0.3">
      <c r="A35" t="s">
        <v>25</v>
      </c>
    </row>
    <row r="36" spans="1:4" x14ac:dyDescent="0.3">
      <c r="A36" s="1" t="s">
        <v>26</v>
      </c>
      <c r="B36" s="12">
        <v>23646</v>
      </c>
      <c r="C36" s="12">
        <v>34940</v>
      </c>
      <c r="D36" s="12">
        <v>38016</v>
      </c>
    </row>
    <row r="37" spans="1:4" x14ac:dyDescent="0.3">
      <c r="A37" s="1" t="s">
        <v>27</v>
      </c>
      <c r="B37" s="12">
        <v>24658</v>
      </c>
      <c r="C37" s="12">
        <v>27699</v>
      </c>
      <c r="D37" s="12">
        <v>52927</v>
      </c>
    </row>
    <row r="38" spans="1:4" x14ac:dyDescent="0.3">
      <c r="A38" s="1" t="s">
        <v>28</v>
      </c>
      <c r="B38" s="12">
        <v>28184</v>
      </c>
      <c r="C38" s="12">
        <v>26278</v>
      </c>
      <c r="D38" s="12">
        <v>16120</v>
      </c>
    </row>
    <row r="39" spans="1:4" x14ac:dyDescent="0.3">
      <c r="A39" s="1" t="s">
        <v>29</v>
      </c>
      <c r="B39" s="12">
        <v>4946</v>
      </c>
      <c r="C39" s="12">
        <v>6580</v>
      </c>
      <c r="D39" s="12">
        <v>4061</v>
      </c>
    </row>
    <row r="40" spans="1:4" x14ac:dyDescent="0.3">
      <c r="A40" s="1" t="s">
        <v>47</v>
      </c>
      <c r="B40" s="12">
        <v>32748</v>
      </c>
      <c r="C40" s="12">
        <v>25228</v>
      </c>
      <c r="D40" s="12">
        <v>21325</v>
      </c>
    </row>
    <row r="41" spans="1:4" x14ac:dyDescent="0.3">
      <c r="A41" s="1" t="s">
        <v>30</v>
      </c>
      <c r="B41" s="12">
        <v>21223</v>
      </c>
      <c r="C41" s="12">
        <v>14111</v>
      </c>
      <c r="D41" s="12">
        <v>11264</v>
      </c>
    </row>
    <row r="42" spans="1:4" x14ac:dyDescent="0.3">
      <c r="A42" s="8" t="s">
        <v>31</v>
      </c>
      <c r="B42" s="13">
        <f>+SUM(B36:B41)</f>
        <v>135405</v>
      </c>
      <c r="C42" s="13">
        <f t="shared" ref="C42:D42" si="9">+SUM(C36:C41)</f>
        <v>134836</v>
      </c>
      <c r="D42" s="13">
        <f t="shared" si="9"/>
        <v>143713</v>
      </c>
    </row>
    <row r="43" spans="1:4" x14ac:dyDescent="0.3">
      <c r="A43" t="s">
        <v>48</v>
      </c>
      <c r="B43" s="12"/>
      <c r="C43" s="12"/>
      <c r="D43" s="12"/>
    </row>
    <row r="44" spans="1:4" x14ac:dyDescent="0.3">
      <c r="A44" s="1" t="s">
        <v>27</v>
      </c>
      <c r="B44" s="12">
        <v>120805</v>
      </c>
      <c r="C44" s="12">
        <v>127877</v>
      </c>
      <c r="D44" s="12">
        <v>100887</v>
      </c>
    </row>
    <row r="45" spans="1:4" x14ac:dyDescent="0.3">
      <c r="A45" s="1" t="s">
        <v>32</v>
      </c>
      <c r="B45" s="12">
        <v>42117</v>
      </c>
      <c r="C45" s="12">
        <v>39440</v>
      </c>
      <c r="D45" s="12">
        <v>36766</v>
      </c>
    </row>
    <row r="46" spans="1:4" x14ac:dyDescent="0.3">
      <c r="A46" s="1" t="s">
        <v>49</v>
      </c>
      <c r="B46" s="12">
        <v>54428</v>
      </c>
      <c r="C46" s="12">
        <v>48849</v>
      </c>
      <c r="D46" s="12">
        <v>42522</v>
      </c>
    </row>
    <row r="47" spans="1:4" x14ac:dyDescent="0.3">
      <c r="A47" s="8" t="s">
        <v>50</v>
      </c>
      <c r="B47" s="13">
        <f>+SUM(B44:B46)</f>
        <v>217350</v>
      </c>
      <c r="C47" s="13">
        <f t="shared" ref="C47:D47" si="10">+SUM(C44:C46)</f>
        <v>216166</v>
      </c>
      <c r="D47" s="13">
        <f t="shared" si="10"/>
        <v>180175</v>
      </c>
    </row>
    <row r="48" spans="1:4" ht="15" thickBot="1" x14ac:dyDescent="0.35">
      <c r="A48" s="9" t="s">
        <v>33</v>
      </c>
      <c r="B48" s="14">
        <f>+B42+B47</f>
        <v>352755</v>
      </c>
      <c r="C48" s="14">
        <f t="shared" ref="C48:D48" si="11">+C42+C47</f>
        <v>351002</v>
      </c>
      <c r="D48" s="14">
        <f t="shared" si="11"/>
        <v>323888</v>
      </c>
    </row>
    <row r="49" spans="1:4" ht="15" thickTop="1" x14ac:dyDescent="0.3"/>
    <row r="50" spans="1:4" x14ac:dyDescent="0.3">
      <c r="A50" t="s">
        <v>34</v>
      </c>
    </row>
    <row r="51" spans="1:4" x14ac:dyDescent="0.3">
      <c r="A51" s="1" t="s">
        <v>35</v>
      </c>
      <c r="B51" s="12">
        <v>64115</v>
      </c>
      <c r="C51" s="12">
        <v>54763</v>
      </c>
      <c r="D51" s="12">
        <v>42296</v>
      </c>
    </row>
    <row r="52" spans="1:4" x14ac:dyDescent="0.3">
      <c r="A52" s="1" t="s">
        <v>36</v>
      </c>
      <c r="B52" s="12">
        <v>60845</v>
      </c>
      <c r="C52" s="12">
        <v>47493</v>
      </c>
      <c r="D52" s="12">
        <v>42684</v>
      </c>
    </row>
    <row r="53" spans="1:4" x14ac:dyDescent="0.3">
      <c r="A53" s="1" t="s">
        <v>37</v>
      </c>
      <c r="B53" s="12">
        <v>7912</v>
      </c>
      <c r="C53" s="12">
        <v>7612</v>
      </c>
      <c r="D53" s="12">
        <v>6643</v>
      </c>
    </row>
    <row r="54" spans="1:4" x14ac:dyDescent="0.3">
      <c r="A54" s="1" t="s">
        <v>38</v>
      </c>
      <c r="B54" s="12">
        <v>9982</v>
      </c>
      <c r="C54" s="12">
        <v>6000</v>
      </c>
      <c r="D54" s="12">
        <v>4996</v>
      </c>
    </row>
    <row r="55" spans="1:4" x14ac:dyDescent="0.3">
      <c r="A55" s="1" t="s">
        <v>39</v>
      </c>
      <c r="B55" s="12">
        <v>11128</v>
      </c>
      <c r="C55" s="12">
        <v>9613</v>
      </c>
      <c r="D55" s="12">
        <v>8773</v>
      </c>
    </row>
    <row r="56" spans="1:4" x14ac:dyDescent="0.3">
      <c r="A56" s="8" t="s">
        <v>40</v>
      </c>
      <c r="B56" s="13">
        <f>+SUM(B51:B55)</f>
        <v>153982</v>
      </c>
      <c r="C56" s="13">
        <f t="shared" ref="C56:D56" si="12">+SUM(C51:C55)</f>
        <v>125481</v>
      </c>
      <c r="D56" s="13">
        <f t="shared" si="12"/>
        <v>105392</v>
      </c>
    </row>
    <row r="57" spans="1:4" x14ac:dyDescent="0.3">
      <c r="A57" t="s">
        <v>51</v>
      </c>
      <c r="B57" s="12"/>
      <c r="C57" s="12"/>
      <c r="D57" s="12"/>
    </row>
    <row r="58" spans="1:4" x14ac:dyDescent="0.3">
      <c r="A58" s="1" t="s">
        <v>37</v>
      </c>
      <c r="B58" s="12"/>
      <c r="C58" s="12"/>
      <c r="D58" s="12"/>
    </row>
    <row r="59" spans="1:4" x14ac:dyDescent="0.3">
      <c r="A59" s="1" t="s">
        <v>39</v>
      </c>
      <c r="B59" s="12">
        <v>98959</v>
      </c>
      <c r="C59" s="12">
        <v>109106</v>
      </c>
      <c r="D59" s="12">
        <v>98667</v>
      </c>
    </row>
    <row r="60" spans="1:4" x14ac:dyDescent="0.3">
      <c r="A60" s="1" t="s">
        <v>52</v>
      </c>
      <c r="B60" s="12">
        <v>49142</v>
      </c>
      <c r="C60" s="12">
        <v>53325</v>
      </c>
      <c r="D60" s="12">
        <v>54490</v>
      </c>
    </row>
    <row r="61" spans="1:4" x14ac:dyDescent="0.3">
      <c r="A61" s="22" t="s">
        <v>53</v>
      </c>
      <c r="B61" s="21">
        <f>+B59+B60</f>
        <v>148101</v>
      </c>
      <c r="C61" s="21">
        <f t="shared" ref="C61:D61" si="13">+C59+C60</f>
        <v>162431</v>
      </c>
      <c r="D61" s="21">
        <f t="shared" si="13"/>
        <v>153157</v>
      </c>
    </row>
    <row r="62" spans="1:4" x14ac:dyDescent="0.3">
      <c r="A62" s="8" t="s">
        <v>41</v>
      </c>
      <c r="B62" s="13">
        <f>+B56+B61</f>
        <v>302083</v>
      </c>
      <c r="C62" s="13">
        <f t="shared" ref="C62:D62" si="14">+C56+C61</f>
        <v>287912</v>
      </c>
      <c r="D62" s="13">
        <f t="shared" si="14"/>
        <v>258549</v>
      </c>
    </row>
    <row r="63" spans="1:4" x14ac:dyDescent="0.3">
      <c r="B63" s="12"/>
      <c r="C63" s="12"/>
      <c r="D63" s="12"/>
    </row>
    <row r="64" spans="1:4" x14ac:dyDescent="0.3">
      <c r="A64" t="s">
        <v>42</v>
      </c>
      <c r="B64" s="12"/>
      <c r="C64" s="12"/>
      <c r="D64" s="12"/>
    </row>
    <row r="65" spans="1:4" x14ac:dyDescent="0.3">
      <c r="A65" s="1" t="s">
        <v>54</v>
      </c>
      <c r="B65" s="12">
        <v>64849</v>
      </c>
      <c r="C65" s="12">
        <v>57365</v>
      </c>
      <c r="D65" s="12">
        <v>50779</v>
      </c>
    </row>
    <row r="66" spans="1:4" x14ac:dyDescent="0.3">
      <c r="A66" s="1" t="s">
        <v>43</v>
      </c>
      <c r="B66" s="12">
        <v>-3068</v>
      </c>
      <c r="C66" s="12">
        <v>5562</v>
      </c>
      <c r="D66" s="12">
        <v>14966</v>
      </c>
    </row>
    <row r="67" spans="1:4" x14ac:dyDescent="0.3">
      <c r="A67" s="1" t="s">
        <v>44</v>
      </c>
      <c r="B67" s="12">
        <v>-11109</v>
      </c>
      <c r="C67" s="12">
        <v>163</v>
      </c>
      <c r="D67" s="12">
        <v>-406</v>
      </c>
    </row>
    <row r="68" spans="1:4" x14ac:dyDescent="0.3">
      <c r="A68" s="8" t="s">
        <v>45</v>
      </c>
      <c r="B68" s="13">
        <f>+SUM(B65:B67)</f>
        <v>50672</v>
      </c>
      <c r="C68" s="13">
        <f t="shared" ref="C68:D68" si="15">+SUM(C65:C67)</f>
        <v>63090</v>
      </c>
      <c r="D68" s="13">
        <f t="shared" si="15"/>
        <v>65339</v>
      </c>
    </row>
    <row r="69" spans="1:4" ht="15" thickBot="1" x14ac:dyDescent="0.35">
      <c r="A69" s="9" t="s">
        <v>46</v>
      </c>
      <c r="B69" s="14">
        <f>+B68+B62</f>
        <v>352755</v>
      </c>
      <c r="C69" s="14">
        <f t="shared" ref="C69:D69" si="16">+C68+C62</f>
        <v>351002</v>
      </c>
      <c r="D69" s="14">
        <f t="shared" si="16"/>
        <v>323888</v>
      </c>
    </row>
    <row r="70" spans="1:4" ht="15" thickTop="1" x14ac:dyDescent="0.3"/>
    <row r="71" spans="1:4" x14ac:dyDescent="0.3">
      <c r="A71" s="35" t="s">
        <v>55</v>
      </c>
      <c r="B71" s="35"/>
      <c r="C71" s="35"/>
      <c r="D71" s="35"/>
    </row>
    <row r="72" spans="1:4" x14ac:dyDescent="0.3">
      <c r="B72" s="34" t="s">
        <v>23</v>
      </c>
      <c r="C72" s="34"/>
      <c r="D72" s="34"/>
    </row>
    <row r="73" spans="1:4" x14ac:dyDescent="0.3">
      <c r="B73" s="7">
        <f>+B33</f>
        <v>2022</v>
      </c>
      <c r="C73" s="7">
        <f t="shared" ref="C73:D73" si="17">+C33</f>
        <v>2021</v>
      </c>
      <c r="D73" s="7">
        <f t="shared" si="17"/>
        <v>2020</v>
      </c>
    </row>
    <row r="75" spans="1:4" x14ac:dyDescent="0.3">
      <c r="A75" s="7" t="s">
        <v>56</v>
      </c>
      <c r="B75" s="15"/>
      <c r="C75" s="15"/>
      <c r="D75" s="15"/>
    </row>
    <row r="76" spans="1:4" x14ac:dyDescent="0.3">
      <c r="A76" t="s">
        <v>57</v>
      </c>
      <c r="B76" s="12">
        <f>+B22</f>
        <v>99803</v>
      </c>
      <c r="C76" s="12">
        <f t="shared" ref="C76:D76" si="18">+C22</f>
        <v>94680</v>
      </c>
      <c r="D76" s="12">
        <f t="shared" si="18"/>
        <v>57411</v>
      </c>
    </row>
    <row r="77" spans="1:4" x14ac:dyDescent="0.3">
      <c r="A77" s="11" t="s">
        <v>18</v>
      </c>
      <c r="B77" s="15"/>
      <c r="C77" s="15"/>
      <c r="D77" s="15"/>
    </row>
    <row r="78" spans="1:4" x14ac:dyDescent="0.3">
      <c r="A78" s="1" t="s">
        <v>58</v>
      </c>
      <c r="B78" s="12"/>
      <c r="C78" s="12"/>
      <c r="D78" s="12"/>
    </row>
    <row r="79" spans="1:4" x14ac:dyDescent="0.3">
      <c r="A79" s="3" t="s">
        <v>59</v>
      </c>
      <c r="B79" s="12">
        <v>11104</v>
      </c>
      <c r="C79" s="12">
        <v>11284</v>
      </c>
      <c r="D79" s="12">
        <v>11056</v>
      </c>
    </row>
    <row r="80" spans="1:4" x14ac:dyDescent="0.3">
      <c r="A80" s="3" t="s">
        <v>83</v>
      </c>
      <c r="B80" s="12">
        <v>9038</v>
      </c>
      <c r="C80" s="12">
        <v>7906</v>
      </c>
      <c r="D80" s="12">
        <v>6829</v>
      </c>
    </row>
    <row r="81" spans="1:4" x14ac:dyDescent="0.3">
      <c r="A81" s="3" t="s">
        <v>60</v>
      </c>
      <c r="B81" s="12">
        <v>895</v>
      </c>
      <c r="C81" s="12">
        <v>-4774</v>
      </c>
      <c r="D81" s="12">
        <v>-215</v>
      </c>
    </row>
    <row r="82" spans="1:4" x14ac:dyDescent="0.3">
      <c r="A82" s="3" t="s">
        <v>61</v>
      </c>
      <c r="B82" s="12">
        <v>111</v>
      </c>
      <c r="C82" s="12">
        <v>-147</v>
      </c>
      <c r="D82" s="12">
        <v>-97</v>
      </c>
    </row>
    <row r="83" spans="1:4" x14ac:dyDescent="0.3">
      <c r="A83" t="s">
        <v>62</v>
      </c>
      <c r="B83" s="12"/>
      <c r="C83" s="12"/>
      <c r="D83" s="12"/>
    </row>
    <row r="84" spans="1:4" x14ac:dyDescent="0.3">
      <c r="A84" s="1" t="s">
        <v>28</v>
      </c>
      <c r="B84" s="12">
        <v>-1823</v>
      </c>
      <c r="C84" s="12">
        <v>-10125</v>
      </c>
      <c r="D84" s="12">
        <v>6917</v>
      </c>
    </row>
    <row r="85" spans="1:4" x14ac:dyDescent="0.3">
      <c r="A85" s="1" t="s">
        <v>29</v>
      </c>
      <c r="B85" s="12">
        <v>1484</v>
      </c>
      <c r="C85" s="12">
        <v>-2642</v>
      </c>
      <c r="D85" s="12">
        <v>-127</v>
      </c>
    </row>
    <row r="86" spans="1:4" x14ac:dyDescent="0.3">
      <c r="A86" s="1" t="s">
        <v>47</v>
      </c>
      <c r="B86" s="12">
        <v>-7520</v>
      </c>
      <c r="C86" s="12">
        <v>-3903</v>
      </c>
      <c r="D86" s="12">
        <v>1553</v>
      </c>
    </row>
    <row r="87" spans="1:4" x14ac:dyDescent="0.3">
      <c r="A87" s="1" t="s">
        <v>84</v>
      </c>
      <c r="B87" s="12">
        <v>-6499</v>
      </c>
      <c r="C87" s="12">
        <v>-8042</v>
      </c>
      <c r="D87" s="12">
        <v>-9588</v>
      </c>
    </row>
    <row r="88" spans="1:4" x14ac:dyDescent="0.3">
      <c r="A88" s="1" t="s">
        <v>35</v>
      </c>
      <c r="B88" s="12">
        <v>9448</v>
      </c>
      <c r="C88" s="12">
        <v>12326</v>
      </c>
      <c r="D88" s="12">
        <v>-4062</v>
      </c>
    </row>
    <row r="89" spans="1:4" x14ac:dyDescent="0.3">
      <c r="A89" s="1" t="s">
        <v>37</v>
      </c>
      <c r="B89" s="12">
        <v>478</v>
      </c>
      <c r="C89" s="12">
        <v>1676</v>
      </c>
      <c r="D89" s="12">
        <v>2081</v>
      </c>
    </row>
    <row r="90" spans="1:4" x14ac:dyDescent="0.3">
      <c r="A90" s="1" t="s">
        <v>85</v>
      </c>
      <c r="B90" s="12">
        <v>5632</v>
      </c>
      <c r="C90" s="12">
        <v>5799</v>
      </c>
      <c r="D90" s="12">
        <v>8916</v>
      </c>
    </row>
    <row r="91" spans="1:4" x14ac:dyDescent="0.3">
      <c r="A91" s="8" t="s">
        <v>63</v>
      </c>
      <c r="B91" s="13">
        <f>+SUM(B76:B90)</f>
        <v>122151</v>
      </c>
      <c r="C91" s="13">
        <f t="shared" ref="C91:D91" si="19">+SUM(C76:C90)</f>
        <v>104038</v>
      </c>
      <c r="D91" s="13">
        <f t="shared" si="19"/>
        <v>80674</v>
      </c>
    </row>
    <row r="92" spans="1:4" x14ac:dyDescent="0.3">
      <c r="A92" s="7" t="s">
        <v>64</v>
      </c>
      <c r="B92" s="12"/>
      <c r="C92" s="12"/>
      <c r="D92" s="12"/>
    </row>
    <row r="93" spans="1:4" x14ac:dyDescent="0.3">
      <c r="A93" s="1" t="s">
        <v>65</v>
      </c>
      <c r="B93" s="12">
        <v>-76923</v>
      </c>
      <c r="C93" s="12">
        <v>-109558</v>
      </c>
      <c r="D93" s="12">
        <v>-114938</v>
      </c>
    </row>
    <row r="94" spans="1:4" x14ac:dyDescent="0.3">
      <c r="A94" s="1" t="s">
        <v>66</v>
      </c>
      <c r="B94" s="12">
        <v>29917</v>
      </c>
      <c r="C94" s="12">
        <v>59023</v>
      </c>
      <c r="D94" s="12">
        <v>69918</v>
      </c>
    </row>
    <row r="95" spans="1:4" x14ac:dyDescent="0.3">
      <c r="A95" s="1" t="s">
        <v>67</v>
      </c>
      <c r="B95" s="12">
        <v>37446</v>
      </c>
      <c r="C95" s="12">
        <v>47460</v>
      </c>
      <c r="D95" s="12">
        <v>50473</v>
      </c>
    </row>
    <row r="96" spans="1:4" x14ac:dyDescent="0.3">
      <c r="A96" s="1" t="s">
        <v>68</v>
      </c>
      <c r="B96" s="12">
        <v>-10708</v>
      </c>
      <c r="C96" s="12">
        <v>-11085</v>
      </c>
      <c r="D96" s="12">
        <v>-7309</v>
      </c>
    </row>
    <row r="97" spans="1:4" x14ac:dyDescent="0.3">
      <c r="A97" s="1" t="s">
        <v>69</v>
      </c>
      <c r="B97" s="12">
        <v>-306</v>
      </c>
      <c r="C97" s="12">
        <v>-33</v>
      </c>
      <c r="D97" s="12">
        <v>-1524</v>
      </c>
    </row>
    <row r="98" spans="1:4" x14ac:dyDescent="0.3">
      <c r="A98" s="1" t="s">
        <v>61</v>
      </c>
      <c r="B98" s="12">
        <v>-1780</v>
      </c>
      <c r="C98" s="12">
        <v>-352</v>
      </c>
      <c r="D98" s="12">
        <v>-909</v>
      </c>
    </row>
    <row r="99" spans="1:4" x14ac:dyDescent="0.3">
      <c r="A99" s="8" t="s">
        <v>70</v>
      </c>
      <c r="B99" s="13">
        <f>+SUM(B93:B98)</f>
        <v>-22354</v>
      </c>
      <c r="C99" s="13">
        <f t="shared" ref="C99:D99" si="20">+SUM(C93:C98)</f>
        <v>-14545</v>
      </c>
      <c r="D99" s="13">
        <f t="shared" si="20"/>
        <v>-4289</v>
      </c>
    </row>
    <row r="100" spans="1:4" x14ac:dyDescent="0.3">
      <c r="A100" s="7" t="s">
        <v>71</v>
      </c>
      <c r="B100" s="12"/>
      <c r="C100" s="12"/>
      <c r="D100" s="12"/>
    </row>
    <row r="101" spans="1:4" x14ac:dyDescent="0.3">
      <c r="A101" s="1" t="s">
        <v>86</v>
      </c>
      <c r="B101" s="12">
        <v>-6223</v>
      </c>
      <c r="C101" s="12">
        <v>-6556</v>
      </c>
      <c r="D101" s="12">
        <v>-3634</v>
      </c>
    </row>
    <row r="102" spans="1:4" x14ac:dyDescent="0.3">
      <c r="A102" s="1" t="s">
        <v>72</v>
      </c>
      <c r="B102" s="12">
        <v>-14841</v>
      </c>
      <c r="C102" s="12">
        <v>-14467</v>
      </c>
      <c r="D102" s="12">
        <v>-14081</v>
      </c>
    </row>
    <row r="103" spans="1:4" x14ac:dyDescent="0.3">
      <c r="A103" s="1" t="s">
        <v>73</v>
      </c>
      <c r="B103" s="12">
        <v>-89402</v>
      </c>
      <c r="C103" s="12">
        <v>-85971</v>
      </c>
      <c r="D103" s="12">
        <v>-72358</v>
      </c>
    </row>
    <row r="104" spans="1:4" x14ac:dyDescent="0.3">
      <c r="A104" s="1" t="s">
        <v>74</v>
      </c>
      <c r="B104" s="12">
        <v>5465</v>
      </c>
      <c r="C104" s="12">
        <v>20393</v>
      </c>
      <c r="D104" s="12">
        <v>16091</v>
      </c>
    </row>
    <row r="105" spans="1:4" x14ac:dyDescent="0.3">
      <c r="A105" s="1" t="s">
        <v>75</v>
      </c>
      <c r="B105" s="12">
        <v>-9543</v>
      </c>
      <c r="C105" s="12">
        <v>-8750</v>
      </c>
      <c r="D105" s="12">
        <v>-12629</v>
      </c>
    </row>
    <row r="106" spans="1:4" x14ac:dyDescent="0.3">
      <c r="A106" s="1" t="s">
        <v>76</v>
      </c>
      <c r="B106" s="12">
        <v>3955</v>
      </c>
      <c r="C106" s="12">
        <v>1022</v>
      </c>
      <c r="D106" s="12">
        <v>-963</v>
      </c>
    </row>
    <row r="107" spans="1:4" x14ac:dyDescent="0.3">
      <c r="A107" s="1" t="s">
        <v>61</v>
      </c>
      <c r="B107" s="12">
        <v>-160</v>
      </c>
      <c r="C107" s="12">
        <v>976</v>
      </c>
      <c r="D107" s="12">
        <v>754</v>
      </c>
    </row>
    <row r="108" spans="1:4" x14ac:dyDescent="0.3">
      <c r="A108" s="8" t="s">
        <v>77</v>
      </c>
      <c r="B108" s="13">
        <f>+SUM(B101:B107)</f>
        <v>-110749</v>
      </c>
      <c r="C108" s="13">
        <f t="shared" ref="C108:D108" si="21">+SUM(C101:C107)</f>
        <v>-93353</v>
      </c>
      <c r="D108" s="13">
        <f t="shared" si="21"/>
        <v>-86820</v>
      </c>
    </row>
    <row r="109" spans="1:4" x14ac:dyDescent="0.3">
      <c r="A109" s="8" t="s">
        <v>78</v>
      </c>
      <c r="B109" s="13">
        <f>+B91+B99+B108</f>
        <v>-10952</v>
      </c>
      <c r="C109" s="13">
        <f t="shared" ref="C109:D109" si="22">+C91+C99+C108</f>
        <v>-3860</v>
      </c>
      <c r="D109" s="13">
        <f t="shared" si="22"/>
        <v>-10435</v>
      </c>
    </row>
    <row r="110" spans="1:4" ht="15" thickBot="1" x14ac:dyDescent="0.35">
      <c r="A110" s="9" t="s">
        <v>79</v>
      </c>
      <c r="B110" s="14">
        <v>24977</v>
      </c>
      <c r="C110" s="14">
        <v>35929</v>
      </c>
      <c r="D110" s="14">
        <v>39789</v>
      </c>
    </row>
    <row r="111" spans="1:4" ht="15" thickTop="1" x14ac:dyDescent="0.3">
      <c r="B111" s="12"/>
      <c r="C111" s="12"/>
      <c r="D111" s="12"/>
    </row>
    <row r="112" spans="1:4" x14ac:dyDescent="0.3">
      <c r="A112" t="s">
        <v>80</v>
      </c>
      <c r="B112" s="12"/>
      <c r="C112" s="12"/>
      <c r="D112" s="12"/>
    </row>
    <row r="113" spans="1:4" x14ac:dyDescent="0.3">
      <c r="A113" t="s">
        <v>81</v>
      </c>
      <c r="B113" s="12">
        <v>19573</v>
      </c>
      <c r="C113" s="12">
        <v>25385</v>
      </c>
      <c r="D113" s="12">
        <v>9501</v>
      </c>
    </row>
    <row r="114" spans="1:4" x14ac:dyDescent="0.3">
      <c r="A114" t="s">
        <v>82</v>
      </c>
      <c r="B114" s="12">
        <v>2865</v>
      </c>
      <c r="C114" s="12">
        <v>2687</v>
      </c>
      <c r="D114" s="12">
        <v>3002</v>
      </c>
    </row>
  </sheetData>
  <mergeCells count="6">
    <mergeCell ref="B3:D3"/>
    <mergeCell ref="B32:D32"/>
    <mergeCell ref="B72:D72"/>
    <mergeCell ref="A2:D2"/>
    <mergeCell ref="A31:D31"/>
    <mergeCell ref="A71:D7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78"/>
  <sheetViews>
    <sheetView tabSelected="1" topLeftCell="A28" workbookViewId="0">
      <selection activeCell="F34" sqref="F34"/>
    </sheetView>
  </sheetViews>
  <sheetFormatPr defaultColWidth="8.77734375" defaultRowHeight="14.4" x14ac:dyDescent="0.3"/>
  <cols>
    <col min="1" max="1" width="4.6640625" customWidth="1"/>
    <col min="2" max="2" width="44.77734375" customWidth="1"/>
    <col min="3" max="3" width="12" bestFit="1" customWidth="1"/>
    <col min="4" max="4" width="10.109375" bestFit="1" customWidth="1"/>
    <col min="5" max="5" width="9.109375" bestFit="1" customWidth="1"/>
    <col min="6" max="6" width="22.33203125" customWidth="1"/>
    <col min="7" max="7" width="43.44140625" customWidth="1"/>
    <col min="8" max="8" width="48.77734375" customWidth="1"/>
  </cols>
  <sheetData>
    <row r="1" spans="1:12" ht="60" customHeight="1" x14ac:dyDescent="0.5">
      <c r="A1" s="6"/>
      <c r="B1" s="20" t="s">
        <v>0</v>
      </c>
      <c r="C1" s="19"/>
      <c r="D1" s="19"/>
      <c r="E1" s="19"/>
      <c r="F1" s="29" t="s">
        <v>158</v>
      </c>
      <c r="G1" s="29" t="s">
        <v>158</v>
      </c>
      <c r="H1" s="29" t="s">
        <v>158</v>
      </c>
      <c r="I1" s="19"/>
      <c r="J1" s="19"/>
      <c r="K1" s="19"/>
      <c r="L1" s="19"/>
    </row>
    <row r="2" spans="1:12" x14ac:dyDescent="0.3">
      <c r="C2" s="34" t="s">
        <v>23</v>
      </c>
      <c r="D2" s="34"/>
      <c r="E2" s="34"/>
      <c r="F2" s="30"/>
      <c r="G2" s="30"/>
    </row>
    <row r="3" spans="1:12" x14ac:dyDescent="0.3">
      <c r="C3" s="7">
        <f>+'Financial Statements'!B4</f>
        <v>2022</v>
      </c>
      <c r="D3" s="7">
        <f>+'Financial Statements'!C4</f>
        <v>2021</v>
      </c>
      <c r="E3" s="7">
        <f>+'Financial Statements'!D4</f>
        <v>2020</v>
      </c>
      <c r="F3" s="7"/>
      <c r="G3" s="7"/>
    </row>
    <row r="4" spans="1:12" x14ac:dyDescent="0.3">
      <c r="A4" s="18">
        <v>1</v>
      </c>
      <c r="B4" s="7" t="s">
        <v>99</v>
      </c>
    </row>
    <row r="5" spans="1:12" x14ac:dyDescent="0.3">
      <c r="A5" s="18">
        <f>+A4+0.1</f>
        <v>1.1000000000000001</v>
      </c>
      <c r="B5" s="1" t="s">
        <v>100</v>
      </c>
      <c r="C5" s="24">
        <f>'Financial Statements'!B42/'Financial Statements'!B56</f>
        <v>0.87935602862672257</v>
      </c>
      <c r="D5" s="24">
        <f>'Financial Statements'!C42/'Financial Statements'!C56</f>
        <v>1.0745531195957954</v>
      </c>
      <c r="E5" s="24">
        <f>'Financial Statements'!D42/'Financial Statements'!D56</f>
        <v>1.3636044481554577</v>
      </c>
      <c r="F5" s="24"/>
      <c r="G5" s="24"/>
    </row>
    <row r="6" spans="1:12" x14ac:dyDescent="0.3">
      <c r="A6" s="18">
        <f t="shared" ref="A6:A13" si="0">+A5+0.1</f>
        <v>1.2000000000000002</v>
      </c>
      <c r="B6" s="1" t="s">
        <v>101</v>
      </c>
      <c r="C6" s="24">
        <f>('Financial Statements'!B36+'Financial Statements'!B37+'Financial Statements'!B38)/'Financial Statements'!B56</f>
        <v>0.49673338442155579</v>
      </c>
      <c r="D6" s="24">
        <f>('Financial Statements'!C36+'Financial Statements'!C37+'Financial Statements'!C38)/'Financial Statements'!C56</f>
        <v>0.70860927152317876</v>
      </c>
      <c r="E6" s="24">
        <f>('Financial Statements'!D36+'Financial Statements'!D37+'Financial Statements'!D38)/'Financial Statements'!D56</f>
        <v>1.0158550933657204</v>
      </c>
      <c r="F6" s="24"/>
      <c r="G6" s="24"/>
    </row>
    <row r="7" spans="1:12" x14ac:dyDescent="0.3">
      <c r="A7" s="18">
        <f t="shared" si="0"/>
        <v>1.3000000000000003</v>
      </c>
      <c r="B7" s="1" t="s">
        <v>102</v>
      </c>
      <c r="C7" s="24">
        <f>'Financial Statements'!B36/'Financial Statements'!B56</f>
        <v>0.15356340351469652</v>
      </c>
      <c r="D7" s="24">
        <f>'Financial Statements'!C36/'Financial Statements'!C56</f>
        <v>0.27844853005634318</v>
      </c>
      <c r="E7" s="24">
        <f>'Financial Statements'!D36/'Financial Statements'!D56</f>
        <v>0.36071049035979963</v>
      </c>
      <c r="F7" s="24"/>
      <c r="G7" s="24"/>
    </row>
    <row r="8" spans="1:12" x14ac:dyDescent="0.3">
      <c r="A8" s="18">
        <f t="shared" si="0"/>
        <v>1.4000000000000004</v>
      </c>
      <c r="B8" s="1" t="s">
        <v>103</v>
      </c>
      <c r="C8" s="24">
        <f>'Financial Statements'!B42/(('Financial Statements'!B17-'Financial Statements'!B79)/365)</f>
        <v>1228.1708953554833</v>
      </c>
      <c r="D8" s="24">
        <f>'Financial Statements'!C42/(('Financial Statements'!C17-'Financial Statements'!C79)/365)</f>
        <v>1509.5279575499187</v>
      </c>
      <c r="E8" s="24">
        <f>'Financial Statements'!D42/(('Financial Statements'!D17-'Financial Statements'!D79)/365)</f>
        <v>1899.7263870780819</v>
      </c>
      <c r="F8" s="24"/>
      <c r="G8" s="24"/>
    </row>
    <row r="9" spans="1:12" x14ac:dyDescent="0.3">
      <c r="A9" s="18">
        <f t="shared" si="0"/>
        <v>1.5000000000000004</v>
      </c>
      <c r="B9" s="1" t="s">
        <v>104</v>
      </c>
      <c r="C9" s="24">
        <f>('Financial Statements'!B39/'Financial Statements'!B12)*365</f>
        <v>8.0756980666171607</v>
      </c>
      <c r="D9" s="24">
        <f>('Financial Statements'!C39/'Financial Statements'!C12)*365</f>
        <v>11.27659274770989</v>
      </c>
      <c r="E9" s="24">
        <f>('Financial Statements'!D39/'Financial Statements'!D12)*365</f>
        <v>8.7418833562358831</v>
      </c>
      <c r="F9" s="24"/>
      <c r="G9" s="24"/>
    </row>
    <row r="10" spans="1:12" x14ac:dyDescent="0.3">
      <c r="A10" s="18">
        <f t="shared" si="0"/>
        <v>1.6000000000000005</v>
      </c>
      <c r="B10" s="1" t="s">
        <v>105</v>
      </c>
      <c r="C10" s="24">
        <f>('Financial Statements'!B51/'Financial Statements'!B12)*365</f>
        <v>104.68527730310539</v>
      </c>
      <c r="D10" s="24">
        <f>('Financial Statements'!C51/'Financial Statements'!C12)*365</f>
        <v>93.851071222315596</v>
      </c>
      <c r="E10" s="24">
        <f>('Financial Statements'!D51/'Financial Statements'!D12)*365</f>
        <v>91.048189715674198</v>
      </c>
      <c r="F10" s="24"/>
      <c r="G10" s="24"/>
    </row>
    <row r="11" spans="1:12" x14ac:dyDescent="0.3">
      <c r="A11" s="18">
        <f t="shared" si="0"/>
        <v>1.7000000000000006</v>
      </c>
      <c r="B11" s="1" t="s">
        <v>106</v>
      </c>
      <c r="C11" s="24">
        <f>('Financial Statements'!B38/'Financial Statements'!B12)*365</f>
        <v>46.018090236461397</v>
      </c>
      <c r="D11" s="24">
        <f>('Financial Statements'!C38/'Financial Statements'!C12)*365</f>
        <v>45.034392739258436</v>
      </c>
      <c r="E11" s="24">
        <f>('Financial Statements'!D38/'Financial Statements'!D12)*365</f>
        <v>34.700605688875257</v>
      </c>
      <c r="F11" s="24"/>
      <c r="G11" s="24"/>
    </row>
    <row r="12" spans="1:12" x14ac:dyDescent="0.3">
      <c r="A12" s="18">
        <f t="shared" si="0"/>
        <v>1.8000000000000007</v>
      </c>
      <c r="B12" s="1" t="s">
        <v>107</v>
      </c>
      <c r="C12" s="24">
        <f>C9+C11-C10</f>
        <v>-50.59148900002684</v>
      </c>
      <c r="D12" s="24">
        <f t="shared" ref="D12:E12" si="1">D9+D11-D10</f>
        <v>-37.540085735347269</v>
      </c>
      <c r="E12" s="24">
        <f t="shared" si="1"/>
        <v>-47.60570067056306</v>
      </c>
      <c r="F12" s="24"/>
      <c r="G12" s="24"/>
    </row>
    <row r="13" spans="1:12" x14ac:dyDescent="0.3">
      <c r="A13" s="18">
        <f t="shared" si="0"/>
        <v>1.9000000000000008</v>
      </c>
      <c r="B13" s="1" t="s">
        <v>108</v>
      </c>
      <c r="C13" s="24">
        <f>(C14/'Financial Statements'!B8)*100</f>
        <v>-7.8576717859244081</v>
      </c>
      <c r="D13" s="24">
        <f>(D14/'Financial Statements'!C8)*100</f>
        <v>-5.9879666609260918</v>
      </c>
      <c r="E13" s="24">
        <f>(E14/'Financial Statements'!D8)*100</f>
        <v>-8.0560260823634398</v>
      </c>
      <c r="F13" s="24"/>
      <c r="G13" s="24"/>
    </row>
    <row r="14" spans="1:12" x14ac:dyDescent="0.3">
      <c r="A14" s="18"/>
      <c r="B14" s="3" t="s">
        <v>109</v>
      </c>
      <c r="C14">
        <f>'Financial Statements'!B38+'Financial Statements'!B39-'Financial Statements'!B51</f>
        <v>-30985</v>
      </c>
      <c r="D14">
        <f>'Financial Statements'!C38+'Financial Statements'!C39-'Financial Statements'!C51</f>
        <v>-21905</v>
      </c>
      <c r="E14">
        <f>'Financial Statements'!D38+'Financial Statements'!D39-'Financial Statements'!D51</f>
        <v>-22115</v>
      </c>
    </row>
    <row r="15" spans="1:12" x14ac:dyDescent="0.3">
      <c r="A15" s="18"/>
    </row>
    <row r="16" spans="1:12" x14ac:dyDescent="0.3">
      <c r="A16" s="18">
        <f>+A4+1</f>
        <v>2</v>
      </c>
      <c r="B16" s="17" t="s">
        <v>110</v>
      </c>
    </row>
    <row r="17" spans="1:8" x14ac:dyDescent="0.3">
      <c r="A17" s="18">
        <f>+A16+0.1</f>
        <v>2.1</v>
      </c>
      <c r="B17" s="1" t="s">
        <v>9</v>
      </c>
      <c r="C17">
        <f>'Financial Statements'!B13</f>
        <v>170782</v>
      </c>
      <c r="D17">
        <f>'Financial Statements'!C13</f>
        <v>152836</v>
      </c>
      <c r="E17">
        <f>'Financial Statements'!D13</f>
        <v>104956</v>
      </c>
    </row>
    <row r="18" spans="1:8" x14ac:dyDescent="0.3">
      <c r="A18" s="18">
        <f>+A17+0.1</f>
        <v>2.2000000000000002</v>
      </c>
      <c r="B18" s="1" t="s">
        <v>111</v>
      </c>
      <c r="C18" s="24">
        <f>C19/'Financial Statements'!B8</f>
        <v>0.3310467428130896</v>
      </c>
      <c r="D18" s="24">
        <f>D19/'Financial Statements'!C8</f>
        <v>0.32866979938056462</v>
      </c>
      <c r="E18" s="24">
        <f>E19/'Financial Statements'!D8</f>
        <v>0.2817478097736007</v>
      </c>
      <c r="F18" s="24"/>
      <c r="G18" s="24"/>
    </row>
    <row r="19" spans="1:8" x14ac:dyDescent="0.3">
      <c r="A19" s="18"/>
      <c r="B19" s="3" t="s">
        <v>112</v>
      </c>
      <c r="C19">
        <f>'Financial Statements'!B18+'Financial Statements'!B79</f>
        <v>130541</v>
      </c>
      <c r="D19">
        <f>'Financial Statements'!C18+'Financial Statements'!C79</f>
        <v>120233</v>
      </c>
      <c r="E19">
        <f>'Financial Statements'!D18+'Financial Statements'!D79</f>
        <v>77344</v>
      </c>
    </row>
    <row r="20" spans="1:8" x14ac:dyDescent="0.3">
      <c r="A20" s="18">
        <f>+A18+0.1</f>
        <v>2.3000000000000003</v>
      </c>
      <c r="B20" s="1" t="s">
        <v>113</v>
      </c>
      <c r="C20" s="24">
        <f>C21/'Financial Statements'!B8</f>
        <v>0.30288744395528594</v>
      </c>
      <c r="D20" s="24">
        <f>D21/'Financial Statements'!C8</f>
        <v>0.29782377527561593</v>
      </c>
      <c r="E20" s="24">
        <f>E21/'Financial Statements'!D8</f>
        <v>0.24147314354406862</v>
      </c>
      <c r="F20" s="24"/>
      <c r="G20" s="24"/>
    </row>
    <row r="21" spans="1:8" x14ac:dyDescent="0.3">
      <c r="A21" s="18"/>
      <c r="B21" s="3" t="s">
        <v>114</v>
      </c>
      <c r="C21">
        <f>'Financial Statements'!B8-'Financial Statements'!B12-'Financial Statements'!B17</f>
        <v>119437</v>
      </c>
      <c r="D21">
        <f>'Financial Statements'!C8-'Financial Statements'!C12-'Financial Statements'!C17</f>
        <v>108949</v>
      </c>
      <c r="E21">
        <f>'Financial Statements'!D8-'Financial Statements'!D12-'Financial Statements'!D17</f>
        <v>66288</v>
      </c>
    </row>
    <row r="22" spans="1:8" x14ac:dyDescent="0.3">
      <c r="A22" s="18">
        <f>+A20+0.1</f>
        <v>2.4000000000000004</v>
      </c>
      <c r="B22" s="1" t="s">
        <v>115</v>
      </c>
      <c r="C22" s="24">
        <f>'Financial Statements'!B22/'Financial Statements'!B8</f>
        <v>0.25309640705199732</v>
      </c>
      <c r="D22" s="24">
        <f>'Financial Statements'!C22/'Financial Statements'!C8</f>
        <v>0.25881793355694238</v>
      </c>
      <c r="E22" s="24">
        <f>'Financial Statements'!D22/'Financial Statements'!D8</f>
        <v>0.20913611278072236</v>
      </c>
      <c r="F22" s="24"/>
      <c r="G22" s="24"/>
    </row>
    <row r="23" spans="1:8" x14ac:dyDescent="0.3">
      <c r="A23" s="18"/>
    </row>
    <row r="24" spans="1:8" x14ac:dyDescent="0.3">
      <c r="A24" s="18">
        <f>+A16+1</f>
        <v>3</v>
      </c>
      <c r="B24" s="7" t="s">
        <v>116</v>
      </c>
    </row>
    <row r="25" spans="1:8" x14ac:dyDescent="0.3">
      <c r="A25" s="18">
        <f>+A24+0.1</f>
        <v>3.1</v>
      </c>
      <c r="B25" s="1" t="s">
        <v>117</v>
      </c>
      <c r="C25" s="24">
        <f>'Financial Statements'!B59/'Financial Statements'!B68</f>
        <v>1.9529325860435744</v>
      </c>
      <c r="D25" s="24">
        <f>'Financial Statements'!C59/'Financial Statements'!C68</f>
        <v>1.729370740212395</v>
      </c>
      <c r="E25" s="24">
        <f>'Financial Statements'!D59/'Financial Statements'!D68</f>
        <v>1.5100782075024104</v>
      </c>
      <c r="F25" s="24"/>
      <c r="G25" s="24" t="s">
        <v>168</v>
      </c>
      <c r="H25" t="s">
        <v>150</v>
      </c>
    </row>
    <row r="26" spans="1:8" x14ac:dyDescent="0.3">
      <c r="A26" s="18">
        <f t="shared" ref="A26:A30" si="2">+A25+0.1</f>
        <v>3.2</v>
      </c>
      <c r="B26" s="1" t="s">
        <v>118</v>
      </c>
      <c r="C26" s="24">
        <f>'Financial Statements'!B59/'Financial Statements'!B48</f>
        <v>0.28053181386514719</v>
      </c>
      <c r="D26" s="24">
        <f>'Financial Statements'!C59/'Financial Statements'!C48</f>
        <v>0.31084153366647482</v>
      </c>
      <c r="E26" s="24">
        <f>'Financial Statements'!D59/'Financial Statements'!D48</f>
        <v>0.30463308304105124</v>
      </c>
      <c r="F26" s="24"/>
      <c r="G26" s="24" t="s">
        <v>168</v>
      </c>
      <c r="H26" t="s">
        <v>150</v>
      </c>
    </row>
    <row r="27" spans="1:8" x14ac:dyDescent="0.3">
      <c r="A27" s="18">
        <f t="shared" si="2"/>
        <v>3.3000000000000003</v>
      </c>
      <c r="B27" s="1" t="s">
        <v>119</v>
      </c>
      <c r="C27" s="24">
        <f>'Financial Statements'!B59/('Financial Statements'!B59+'Financial Statements'!B68)</f>
        <v>0.66135359651409131</v>
      </c>
      <c r="D27" s="24">
        <f>'Financial Statements'!C59/('Financial Statements'!C59+'Financial Statements'!C68)</f>
        <v>0.63361518269878514</v>
      </c>
      <c r="E27" s="24">
        <f>'Financial Statements'!D59/('Financial Statements'!D59+'Financial Statements'!D68)</f>
        <v>0.60160603880345842</v>
      </c>
      <c r="F27" s="24"/>
      <c r="G27" s="24"/>
      <c r="H27" t="s">
        <v>150</v>
      </c>
    </row>
    <row r="28" spans="1:8" x14ac:dyDescent="0.3">
      <c r="A28" s="18">
        <f t="shared" si="2"/>
        <v>3.4000000000000004</v>
      </c>
      <c r="B28" s="1" t="s">
        <v>120</v>
      </c>
      <c r="C28" s="24">
        <f>C21/'Financial Statements'!B114</f>
        <v>41.68830715532286</v>
      </c>
      <c r="D28" s="24">
        <f>D21/'Financial Statements'!C114</f>
        <v>40.546706363974693</v>
      </c>
      <c r="E28" s="24">
        <f>E21/'Financial Statements'!D114</f>
        <v>22.081279147235175</v>
      </c>
      <c r="F28" s="24"/>
      <c r="G28" s="24"/>
    </row>
    <row r="29" spans="1:8" x14ac:dyDescent="0.3">
      <c r="A29" s="18">
        <f t="shared" si="2"/>
        <v>3.5000000000000004</v>
      </c>
      <c r="B29" s="1" t="s">
        <v>121</v>
      </c>
      <c r="C29" s="24">
        <f>C21/('Financial Statements'!B114+'Financial Statements'!B105*-1)</f>
        <v>9.6258059316569948</v>
      </c>
      <c r="D29" s="24">
        <f>D21/('Financial Statements'!C114+'Financial Statements'!C105*-1)</f>
        <v>9.5260120661012504</v>
      </c>
      <c r="E29" s="24">
        <f>E21/('Financial Statements'!D114+'Financial Statements'!D105*-1)</f>
        <v>4.2408035314439259</v>
      </c>
      <c r="F29" s="24"/>
      <c r="G29" s="24"/>
      <c r="H29" t="s">
        <v>151</v>
      </c>
    </row>
    <row r="30" spans="1:8" x14ac:dyDescent="0.3">
      <c r="A30" s="18">
        <f t="shared" si="2"/>
        <v>3.6000000000000005</v>
      </c>
      <c r="B30" s="1" t="s">
        <v>122</v>
      </c>
      <c r="C30" s="24">
        <f>C31/('Financial Statements'!B28/1000)</f>
        <v>6.5763928903046152</v>
      </c>
      <c r="D30" s="24">
        <f>D31/('Financial Statements'!C28/1000)</f>
        <v>6.2019865022773004</v>
      </c>
      <c r="E30" s="24">
        <f>E31/('Financial Statements'!D28/1000)</f>
        <v>4.3830478108037703</v>
      </c>
      <c r="F30" s="24"/>
      <c r="G30" s="24"/>
      <c r="H30" s="25" t="s">
        <v>152</v>
      </c>
    </row>
    <row r="31" spans="1:8" x14ac:dyDescent="0.3">
      <c r="A31" s="18"/>
      <c r="B31" s="3" t="s">
        <v>123</v>
      </c>
      <c r="C31">
        <f>'Financial Statements'!B91+'Financial Statements'!B96+'Financial Statements'!B104+'Financial Statements'!B105</f>
        <v>107365</v>
      </c>
      <c r="D31">
        <f>'Financial Statements'!C91+'Financial Statements'!C96+'Financial Statements'!C104+'Financial Statements'!C105</f>
        <v>104596</v>
      </c>
      <c r="E31">
        <f>'Financial Statements'!D91+'Financial Statements'!D96+'Financial Statements'!D104+'Financial Statements'!D105</f>
        <v>76827</v>
      </c>
    </row>
    <row r="32" spans="1:8" x14ac:dyDescent="0.3">
      <c r="A32" s="18"/>
      <c r="C32" t="s">
        <v>159</v>
      </c>
    </row>
    <row r="33" spans="1:8" x14ac:dyDescent="0.3">
      <c r="A33" s="18">
        <f>+A24+1</f>
        <v>4</v>
      </c>
      <c r="B33" s="17" t="s">
        <v>124</v>
      </c>
    </row>
    <row r="34" spans="1:8" x14ac:dyDescent="0.3">
      <c r="A34" s="18">
        <f>+A33+0.1</f>
        <v>4.0999999999999996</v>
      </c>
      <c r="B34" s="1" t="s">
        <v>125</v>
      </c>
      <c r="C34" s="24">
        <f>'Financial Statements'!B8/'Financial Statements'!B48</f>
        <v>1.1178523337727317</v>
      </c>
      <c r="D34" s="24">
        <f>'Financial Statements'!C8/'Financial Statements'!C48</f>
        <v>1.0422077367080529</v>
      </c>
      <c r="E34" s="24">
        <f>'Financial Statements'!D8/'Financial Statements'!D48</f>
        <v>0.84756150274168851</v>
      </c>
      <c r="F34" s="24"/>
      <c r="G34" s="24"/>
    </row>
    <row r="35" spans="1:8" x14ac:dyDescent="0.3">
      <c r="A35" s="18">
        <f t="shared" ref="A35:A37" si="3">+A34+0.1</f>
        <v>4.1999999999999993</v>
      </c>
      <c r="B35" s="1" t="s">
        <v>126</v>
      </c>
      <c r="C35" s="24">
        <f>'Financial Statements'!B8/'Financial Statements'!B45</f>
        <v>9.3626801529073767</v>
      </c>
      <c r="D35" s="24">
        <f>'Financial Statements'!C8/'Financial Statements'!C45</f>
        <v>9.2752789046653152</v>
      </c>
      <c r="E35" s="24">
        <f>'Financial Statements'!D8/'Financial Statements'!D45</f>
        <v>7.4665451776097482</v>
      </c>
      <c r="F35" s="24"/>
      <c r="G35" s="24"/>
      <c r="H35" s="26" t="s">
        <v>153</v>
      </c>
    </row>
    <row r="36" spans="1:8" x14ac:dyDescent="0.3">
      <c r="A36" s="18">
        <f t="shared" si="3"/>
        <v>4.2999999999999989</v>
      </c>
      <c r="B36" s="1" t="s">
        <v>127</v>
      </c>
      <c r="C36" s="24">
        <f>'Financial Statements'!B12/'Financial Statements'!B39</f>
        <v>45.197331176708452</v>
      </c>
      <c r="D36" s="24">
        <f>'Financial Statements'!C12/'Financial Statements'!C39</f>
        <v>32.367933130699086</v>
      </c>
      <c r="E36" s="24">
        <f>'Financial Statements'!D12/'Financial Statements'!D39</f>
        <v>41.753016498399411</v>
      </c>
      <c r="F36" s="24"/>
      <c r="G36" s="24"/>
    </row>
    <row r="37" spans="1:8" x14ac:dyDescent="0.3">
      <c r="A37" s="18">
        <f t="shared" si="3"/>
        <v>4.3999999999999986</v>
      </c>
      <c r="B37" s="1" t="s">
        <v>128</v>
      </c>
      <c r="C37" s="24">
        <f>'Financial Statements'!B22/'Financial Statements'!B48</f>
        <v>0.28292440929256851</v>
      </c>
      <c r="D37" s="24">
        <f>'Financial Statements'!C22/'Financial Statements'!C48</f>
        <v>0.26974205275183616</v>
      </c>
      <c r="E37" s="24">
        <f>'Financial Statements'!D22/'Financial Statements'!D48</f>
        <v>0.1772557180259843</v>
      </c>
      <c r="F37" s="24"/>
      <c r="G37" s="24"/>
    </row>
    <row r="38" spans="1:8" x14ac:dyDescent="0.3">
      <c r="A38" s="18"/>
    </row>
    <row r="39" spans="1:8" x14ac:dyDescent="0.3">
      <c r="A39" s="18">
        <f>+A33+1</f>
        <v>5</v>
      </c>
      <c r="B39" s="17" t="s">
        <v>129</v>
      </c>
    </row>
    <row r="40" spans="1:8" x14ac:dyDescent="0.3">
      <c r="A40" s="18">
        <f>+A39+0.1</f>
        <v>5.0999999999999996</v>
      </c>
      <c r="B40" s="1" t="s">
        <v>130</v>
      </c>
      <c r="C40" s="24">
        <f>137.2/C41</f>
        <v>22.454991816693941</v>
      </c>
      <c r="D40" s="24">
        <f t="shared" ref="D40:E40" si="4">137.2/D41</f>
        <v>24.456327985739748</v>
      </c>
      <c r="E40" s="24">
        <f t="shared" si="4"/>
        <v>41.829268292682926</v>
      </c>
      <c r="F40" s="24"/>
      <c r="G40" s="24"/>
    </row>
    <row r="41" spans="1:8" x14ac:dyDescent="0.3">
      <c r="A41" s="18">
        <f t="shared" ref="A41:A44" si="5">+A40+0.1</f>
        <v>5.1999999999999993</v>
      </c>
      <c r="B41" s="3" t="s">
        <v>131</v>
      </c>
      <c r="C41">
        <f>'Financial Statements'!B25</f>
        <v>6.11</v>
      </c>
      <c r="D41">
        <f>'Financial Statements'!C25</f>
        <v>5.61</v>
      </c>
      <c r="E41">
        <f>'Financial Statements'!D25</f>
        <v>3.28</v>
      </c>
    </row>
    <row r="42" spans="1:8" x14ac:dyDescent="0.3">
      <c r="A42" s="18">
        <f t="shared" si="5"/>
        <v>5.2999999999999989</v>
      </c>
      <c r="B42" s="1" t="s">
        <v>132</v>
      </c>
      <c r="C42" s="12">
        <f>137.2/C43</f>
        <v>44.203946297758122</v>
      </c>
      <c r="D42" s="12">
        <f t="shared" ref="D42:E42" si="6">137.2/D43</f>
        <v>36.675652033602788</v>
      </c>
      <c r="E42" s="12">
        <f t="shared" si="6"/>
        <v>36.806057037909973</v>
      </c>
      <c r="F42" s="12"/>
      <c r="G42" s="12"/>
    </row>
    <row r="43" spans="1:8" x14ac:dyDescent="0.3">
      <c r="A43" s="18">
        <f t="shared" si="5"/>
        <v>5.3999999999999986</v>
      </c>
      <c r="B43" s="3" t="s">
        <v>133</v>
      </c>
      <c r="C43" s="24">
        <f>'Financial Statements'!B68/('Financial Statements'!B28/1000)</f>
        <v>3.1037952827971451</v>
      </c>
      <c r="D43" s="24">
        <f>'Financial Statements'!C68/('Financial Statements'!C28/1000)</f>
        <v>3.740901453484597</v>
      </c>
      <c r="E43" s="24">
        <f>'Financial Statements'!D68/('Financial Statements'!D28/1000)</f>
        <v>3.7276473233382479</v>
      </c>
      <c r="F43" s="24"/>
      <c r="G43" s="24"/>
      <c r="H43" s="27" t="s">
        <v>154</v>
      </c>
    </row>
    <row r="44" spans="1:8" x14ac:dyDescent="0.3">
      <c r="A44" s="18">
        <f t="shared" si="5"/>
        <v>5.4999999999999982</v>
      </c>
      <c r="B44" s="1" t="s">
        <v>134</v>
      </c>
      <c r="C44" s="24">
        <f>'Financial Statements'!B102/'Financial Statements'!B22*-1</f>
        <v>0.14870294480125848</v>
      </c>
      <c r="D44" s="24">
        <f>'Financial Statements'!C102/'Financial Statements'!C22*-1</f>
        <v>0.15279890156316012</v>
      </c>
      <c r="E44" s="24">
        <f>'Financial Statements'!D102/'Financial Statements'!D22*-1</f>
        <v>0.24526658654264863</v>
      </c>
      <c r="F44" s="24"/>
      <c r="G44" s="24"/>
    </row>
    <row r="45" spans="1:8" x14ac:dyDescent="0.3">
      <c r="A45" s="18"/>
      <c r="B45" s="3" t="s">
        <v>135</v>
      </c>
      <c r="C45" s="24">
        <f>('Financial Statements'!B102*-1)/('Financial Statements'!B28/1000)</f>
        <v>0.90905087211857494</v>
      </c>
      <c r="D45" s="24">
        <f>('Financial Statements'!C102*-1)/('Financial Statements'!C28/1000)</f>
        <v>0.85781615672153533</v>
      </c>
      <c r="E45" s="24">
        <f>('Financial Statements'!D102*-1)/('Financial Statements'!D28/1000)</f>
        <v>0.80333341434558025</v>
      </c>
      <c r="F45" s="24"/>
      <c r="G45" s="24"/>
      <c r="H45" t="s">
        <v>155</v>
      </c>
    </row>
    <row r="46" spans="1:8" x14ac:dyDescent="0.3">
      <c r="A46" s="18">
        <f>+A44+0.1</f>
        <v>5.5999999999999979</v>
      </c>
      <c r="B46" s="1" t="s">
        <v>136</v>
      </c>
      <c r="C46" s="24">
        <f>C45/137.2</f>
        <v>6.6257352195231416E-3</v>
      </c>
      <c r="D46" s="24">
        <f t="shared" ref="D46:E46" si="7">D45/137.2</f>
        <v>6.2523043492823281E-3</v>
      </c>
      <c r="E46" s="24">
        <f t="shared" si="7"/>
        <v>5.8551998130144337E-3</v>
      </c>
      <c r="F46" s="24"/>
      <c r="G46" s="24"/>
    </row>
    <row r="47" spans="1:8" x14ac:dyDescent="0.3">
      <c r="A47" s="18">
        <v>5.7</v>
      </c>
      <c r="B47" s="1" t="s">
        <v>137</v>
      </c>
      <c r="C47" s="24">
        <f>'Financial Statements'!B22/'Financial Statements'!B68</f>
        <v>1.9695887275023682</v>
      </c>
      <c r="D47" s="24">
        <f>'Financial Statements'!C22/'Financial Statements'!C68</f>
        <v>1.5007132667617689</v>
      </c>
      <c r="E47" s="24">
        <f>'Financial Statements'!D22/'Financial Statements'!D68</f>
        <v>0.87866358530127486</v>
      </c>
      <c r="F47" s="24"/>
      <c r="G47" s="24"/>
    </row>
    <row r="48" spans="1:8" x14ac:dyDescent="0.3">
      <c r="A48" s="18">
        <v>5.8</v>
      </c>
      <c r="B48" s="1" t="s">
        <v>138</v>
      </c>
      <c r="C48" s="24">
        <f>C21/('Financial Statements'!B55+'Financial Statements'!B59+'Financial Statements'!B68)</f>
        <v>0.74295684845016452</v>
      </c>
      <c r="D48" s="24">
        <f>D21/('Financial Statements'!C55+'Financial Statements'!C59+'Financial Statements'!C68)</f>
        <v>0.59924976211298675</v>
      </c>
      <c r="E48" s="24">
        <f>E21/('Financial Statements'!D55+'Financial Statements'!D59+'Financial Statements'!D68)</f>
        <v>0.38365773618321669</v>
      </c>
      <c r="F48" s="24" t="s">
        <v>173</v>
      </c>
      <c r="G48" s="24"/>
      <c r="H48" s="27" t="s">
        <v>156</v>
      </c>
    </row>
    <row r="49" spans="1:8" x14ac:dyDescent="0.3">
      <c r="A49" s="18">
        <v>5.9</v>
      </c>
      <c r="B49" s="1" t="s">
        <v>128</v>
      </c>
      <c r="C49" s="24">
        <f>'Financial Statements'!B22/'Financial Statements'!B48</f>
        <v>0.28292440929256851</v>
      </c>
      <c r="D49" s="24">
        <f>'Financial Statements'!C22/'Financial Statements'!C48</f>
        <v>0.26974205275183616</v>
      </c>
      <c r="E49" s="24">
        <f>'Financial Statements'!D22/'Financial Statements'!D48</f>
        <v>0.1772557180259843</v>
      </c>
      <c r="F49" s="24"/>
      <c r="G49" s="24"/>
    </row>
    <row r="50" spans="1:8" x14ac:dyDescent="0.3">
      <c r="A50" s="18">
        <v>6</v>
      </c>
      <c r="B50" s="1" t="s">
        <v>139</v>
      </c>
      <c r="C50" s="24">
        <f>C51/C19</f>
        <v>17.820787084517509</v>
      </c>
      <c r="D50" s="24">
        <f t="shared" ref="D50:E50" si="8">D51/D19</f>
        <v>0.33096570824981492</v>
      </c>
      <c r="E50" s="24">
        <f t="shared" si="8"/>
        <v>0.39802699627637567</v>
      </c>
      <c r="F50" s="24"/>
      <c r="G50" s="24"/>
    </row>
    <row r="51" spans="1:8" x14ac:dyDescent="0.3">
      <c r="A51" s="18"/>
      <c r="B51" s="3" t="s">
        <v>140</v>
      </c>
      <c r="C51" s="31">
        <f>(137.2*('Financial Statements'!B28/1000))+'Financial Statements'!B55+'Financial Statements'!B59-'Financial Statements'!B36</f>
        <v>2326343.3668</v>
      </c>
      <c r="D51" s="31">
        <f>'Financial Statements'!C68+'Financial Statements'!C104+'Financial Statements'!C105-'Financial Statements'!C36</f>
        <v>39793</v>
      </c>
      <c r="E51" s="31">
        <f>'Financial Statements'!D68+'Financial Statements'!D104+'Financial Statements'!D105-'Financial Statements'!D36</f>
        <v>30785</v>
      </c>
      <c r="F51" t="s">
        <v>174</v>
      </c>
      <c r="G51" s="31" t="s">
        <v>157</v>
      </c>
      <c r="H51" s="28" t="s">
        <v>157</v>
      </c>
    </row>
    <row r="52" spans="1:8" x14ac:dyDescent="0.3">
      <c r="C52" s="25"/>
      <c r="D52" s="25"/>
      <c r="E52" s="25"/>
      <c r="F52" s="25"/>
      <c r="G52" s="25"/>
    </row>
    <row r="53" spans="1:8" x14ac:dyDescent="0.3">
      <c r="C53" s="25"/>
      <c r="D53" s="25"/>
      <c r="E53" s="25"/>
      <c r="F53" s="25"/>
      <c r="G53" s="25"/>
    </row>
    <row r="54" spans="1:8" x14ac:dyDescent="0.3">
      <c r="C54" s="25"/>
      <c r="D54" s="25"/>
      <c r="E54" s="25"/>
      <c r="F54" s="25"/>
      <c r="G54" s="25"/>
    </row>
    <row r="55" spans="1:8" x14ac:dyDescent="0.3">
      <c r="A55" s="18"/>
      <c r="B55" s="17" t="s">
        <v>160</v>
      </c>
      <c r="C55" s="25"/>
      <c r="D55" s="25"/>
      <c r="E55" s="25"/>
      <c r="F55" s="25"/>
      <c r="G55" s="25"/>
    </row>
    <row r="56" spans="1:8" x14ac:dyDescent="0.3">
      <c r="A56" s="18"/>
      <c r="B56" s="1" t="s">
        <v>163</v>
      </c>
      <c r="C56" s="33">
        <f>(('Financial Statements'!B6-'Financial Statements'!D6)/'Financial Statements'!D6)</f>
        <v>0.43240451738868479</v>
      </c>
      <c r="D56" s="33"/>
      <c r="E56" s="33"/>
      <c r="F56" s="33"/>
      <c r="H56" s="25" t="s">
        <v>170</v>
      </c>
    </row>
    <row r="57" spans="1:8" x14ac:dyDescent="0.3">
      <c r="B57" s="1" t="s">
        <v>164</v>
      </c>
      <c r="C57" s="33">
        <f>(('Financial Statements'!B7-'Financial Statements'!D7)/'Financial Statements'!D7)</f>
        <v>0.45307617914000892</v>
      </c>
      <c r="D57" s="33"/>
      <c r="E57" s="33"/>
      <c r="F57" s="33"/>
      <c r="G57" s="25"/>
    </row>
    <row r="58" spans="1:8" x14ac:dyDescent="0.3">
      <c r="B58" s="1" t="s">
        <v>6</v>
      </c>
      <c r="C58" s="33">
        <f>(('Financial Statements'!B8-'Financial Statements'!D8)/'Financial Statements'!D8)</f>
        <v>0.43645338141813744</v>
      </c>
      <c r="D58" s="33"/>
      <c r="E58" s="33"/>
      <c r="F58" s="33"/>
      <c r="G58" s="25"/>
    </row>
    <row r="59" spans="1:8" x14ac:dyDescent="0.3">
      <c r="B59" s="1" t="s">
        <v>89</v>
      </c>
      <c r="C59" s="33">
        <f>(('Financial Statements'!B13-'Financial Statements'!D13)/'Financial Statements'!D13)</f>
        <v>0.62717710278592931</v>
      </c>
      <c r="D59" s="33"/>
      <c r="E59" s="33"/>
      <c r="F59" s="33"/>
      <c r="G59" s="25"/>
    </row>
    <row r="60" spans="1:8" x14ac:dyDescent="0.3">
      <c r="B60" s="1" t="s">
        <v>161</v>
      </c>
      <c r="C60" s="33">
        <f>(('Financial Statements'!B15-'Financial Statements'!D15)/'Financial Statements'!D15)</f>
        <v>0.39990401023890787</v>
      </c>
      <c r="D60" s="33"/>
      <c r="E60" s="33"/>
      <c r="F60" s="33"/>
      <c r="G60" s="25"/>
    </row>
    <row r="61" spans="1:8" x14ac:dyDescent="0.3">
      <c r="B61" s="1" t="s">
        <v>162</v>
      </c>
      <c r="C61" s="33">
        <f>(('Financial Statements'!B16-'Financial Statements'!D16)/'Financial Statements'!D16)</f>
        <v>0.2599919662582848</v>
      </c>
      <c r="D61" s="33"/>
      <c r="E61" s="33"/>
      <c r="F61" s="33"/>
      <c r="G61" s="25"/>
    </row>
    <row r="62" spans="1:8" x14ac:dyDescent="0.3">
      <c r="B62" s="1" t="s">
        <v>13</v>
      </c>
      <c r="C62" s="33">
        <f>(('Financial Statements'!B17-'Financial Statements'!D17)/'Financial Statements'!D17)</f>
        <v>0.3278421433743664</v>
      </c>
      <c r="D62" s="33"/>
      <c r="E62" s="33"/>
      <c r="F62" s="33"/>
      <c r="G62" s="25"/>
    </row>
    <row r="63" spans="1:8" x14ac:dyDescent="0.3">
      <c r="B63" s="1" t="s">
        <v>33</v>
      </c>
      <c r="C63" s="33">
        <f>(('Financial Statements'!B48-'Financial Statements'!D48)/'Financial Statements'!D48)</f>
        <v>8.9126488168749685E-2</v>
      </c>
      <c r="D63" s="33"/>
      <c r="E63" s="33"/>
      <c r="F63" s="33"/>
      <c r="G63" s="25"/>
    </row>
    <row r="64" spans="1:8" x14ac:dyDescent="0.3">
      <c r="B64" s="1" t="s">
        <v>41</v>
      </c>
      <c r="C64" s="33">
        <f>(('Financial Statements'!B62-'Financial Statements'!D62)/'Financial Statements'!D62)</f>
        <v>0.16837814108737609</v>
      </c>
      <c r="D64" s="33"/>
      <c r="E64" s="33"/>
      <c r="F64" s="33"/>
      <c r="G64" s="25"/>
    </row>
    <row r="65" spans="2:8" x14ac:dyDescent="0.3">
      <c r="B65" s="1" t="s">
        <v>165</v>
      </c>
      <c r="C65" s="33">
        <f>(('Financial Statements'!B68-'Financial Statements'!D68)/'Financial Statements'!D68)</f>
        <v>-0.2244754281516399</v>
      </c>
      <c r="D65" s="33"/>
      <c r="E65" s="33"/>
      <c r="F65" s="33"/>
      <c r="G65" s="25"/>
    </row>
    <row r="66" spans="2:8" x14ac:dyDescent="0.3">
      <c r="C66" s="33"/>
      <c r="D66" s="33"/>
      <c r="E66" s="33"/>
      <c r="F66" s="33"/>
    </row>
    <row r="67" spans="2:8" x14ac:dyDescent="0.3">
      <c r="B67" s="17" t="s">
        <v>166</v>
      </c>
      <c r="C67" s="33"/>
      <c r="D67" s="33"/>
      <c r="E67" s="33"/>
      <c r="F67" s="33"/>
    </row>
    <row r="68" spans="2:8" x14ac:dyDescent="0.3">
      <c r="B68" s="1" t="s">
        <v>146</v>
      </c>
      <c r="C68" s="33">
        <f>'Financial Statements'!B12/'Financial Statements'!B8</f>
        <v>0.56690369438639909</v>
      </c>
      <c r="D68" s="33">
        <f>'Financial Statements'!C12/'Financial Statements'!C8</f>
        <v>0.58220640374832222</v>
      </c>
      <c r="E68" s="33">
        <f>'Financial Statements'!D12/'Financial Statements'!D8</f>
        <v>0.61766752272189129</v>
      </c>
      <c r="F68" s="33"/>
      <c r="G68" s="25"/>
    </row>
    <row r="69" spans="2:8" x14ac:dyDescent="0.3">
      <c r="B69" s="1" t="s">
        <v>89</v>
      </c>
      <c r="C69" s="33">
        <f>'Financial Statements'!B13/'Financial Statements'!B8</f>
        <v>0.43309630561360085</v>
      </c>
      <c r="D69" s="33">
        <f>'Financial Statements'!C13/'Financial Statements'!C8</f>
        <v>0.41779359625167778</v>
      </c>
      <c r="E69" s="33">
        <f>'Financial Statements'!D13/'Financial Statements'!D8</f>
        <v>0.38233247727810865</v>
      </c>
      <c r="F69" s="33"/>
      <c r="G69" s="25"/>
    </row>
    <row r="70" spans="2:8" x14ac:dyDescent="0.3">
      <c r="B70" s="1" t="s">
        <v>161</v>
      </c>
      <c r="C70" s="33">
        <f>'Financial Statements'!B15/'Financial Statements'!B8</f>
        <v>6.657148363798665E-2</v>
      </c>
      <c r="D70" s="33">
        <f>'Financial Statements'!C15/'Financial Statements'!C8</f>
        <v>5.9904269074427925E-2</v>
      </c>
      <c r="E70" s="33">
        <f>'Financial Statements'!D15/'Financial Statements'!D8</f>
        <v>6.8309564140393061E-2</v>
      </c>
      <c r="F70" s="33"/>
      <c r="G70" s="25"/>
    </row>
    <row r="71" spans="2:8" x14ac:dyDescent="0.3">
      <c r="B71" s="1" t="s">
        <v>162</v>
      </c>
      <c r="C71" s="33">
        <f>'Financial Statements'!B16/'Financial Statements'!B8</f>
        <v>6.3637378020328261E-2</v>
      </c>
      <c r="D71" s="33">
        <f>'Financial Statements'!C16/'Financial Statements'!C8</f>
        <v>6.006555190163388E-2</v>
      </c>
      <c r="E71" s="33">
        <f>'Financial Statements'!D16/'Financial Statements'!D8</f>
        <v>7.2549769593646979E-2</v>
      </c>
      <c r="F71" s="33"/>
      <c r="G71" s="25"/>
    </row>
    <row r="72" spans="2:8" x14ac:dyDescent="0.3">
      <c r="B72" s="1" t="s">
        <v>13</v>
      </c>
      <c r="C72" s="33">
        <f>'Financial Statements'!B17/'Financial Statements'!B8</f>
        <v>0.13020886165831491</v>
      </c>
      <c r="D72" s="33">
        <f>'Financial Statements'!C17/'Financial Statements'!C8</f>
        <v>0.11996982097606181</v>
      </c>
      <c r="E72" s="33">
        <f>'Financial Statements'!D17/'Financial Statements'!D8</f>
        <v>0.14085933373404003</v>
      </c>
      <c r="F72" s="33"/>
      <c r="G72" s="25"/>
    </row>
    <row r="73" spans="2:8" x14ac:dyDescent="0.3">
      <c r="B73" s="1" t="s">
        <v>14</v>
      </c>
      <c r="C73" s="33">
        <f>'Financial Statements'!B18/'Financial Statements'!B8</f>
        <v>0.30288744395528594</v>
      </c>
      <c r="D73" s="33">
        <f>'Financial Statements'!C18/'Financial Statements'!C8</f>
        <v>0.29782377527561593</v>
      </c>
      <c r="E73" s="33">
        <f>'Financial Statements'!D18/'Financial Statements'!D8</f>
        <v>0.24147314354406862</v>
      </c>
      <c r="F73" s="33"/>
      <c r="G73" s="25"/>
    </row>
    <row r="74" spans="2:8" x14ac:dyDescent="0.3">
      <c r="B74" s="1" t="s">
        <v>93</v>
      </c>
      <c r="C74" s="33">
        <f>'Financial Statements'!B22/'Financial Statements'!B8</f>
        <v>0.25309640705199732</v>
      </c>
      <c r="D74" s="33">
        <f>'Financial Statements'!C22/'Financial Statements'!C8</f>
        <v>0.25881793355694238</v>
      </c>
      <c r="E74" s="33">
        <f>'Financial Statements'!D22/'Financial Statements'!D8</f>
        <v>0.20913611278072236</v>
      </c>
      <c r="F74" s="33"/>
      <c r="G74" s="25"/>
    </row>
    <row r="75" spans="2:8" x14ac:dyDescent="0.3">
      <c r="C75" s="33"/>
      <c r="D75" s="33"/>
      <c r="E75" s="33"/>
      <c r="F75" s="33"/>
      <c r="G75" s="25"/>
    </row>
    <row r="76" spans="2:8" x14ac:dyDescent="0.3">
      <c r="B76" s="32" t="s">
        <v>94</v>
      </c>
      <c r="C76" s="33">
        <f>'Financial Statements'!B113/'Financial Statements'!B20</f>
        <v>0.1643367505436471</v>
      </c>
      <c r="D76" s="33">
        <f>'Financial Statements'!C113/'Financial Statements'!C20</f>
        <v>0.23244846942045841</v>
      </c>
      <c r="E76" s="33">
        <f>'Financial Statements'!D113/'Financial Statements'!D20</f>
        <v>0.14161362924982487</v>
      </c>
      <c r="F76" s="33"/>
      <c r="G76" s="25"/>
      <c r="H76" t="s">
        <v>169</v>
      </c>
    </row>
    <row r="77" spans="2:8" x14ac:dyDescent="0.3">
      <c r="B77" s="32" t="s">
        <v>167</v>
      </c>
      <c r="C77" s="33">
        <f>('Financial Statements'!B96*-1)/'Financial Statements'!B8</f>
        <v>2.7155058732831552E-2</v>
      </c>
      <c r="D77" s="33">
        <f>('Financial Statements'!C96*-1)/'Financial Statements'!C8</f>
        <v>3.0302036264033657E-2</v>
      </c>
      <c r="E77" s="33">
        <f>('Financial Statements'!D96*-1)/'Financial Statements'!D8</f>
        <v>2.6625138881299748E-2</v>
      </c>
      <c r="F77" s="33"/>
      <c r="G77" s="25"/>
    </row>
    <row r="78" spans="2:8" x14ac:dyDescent="0.3">
      <c r="B78" s="32" t="s">
        <v>172</v>
      </c>
      <c r="C78" s="33">
        <f>'Financial Statements'!B96/'Financial Statements'!B45*-1</f>
        <v>0.25424412944891611</v>
      </c>
      <c r="D78" s="33">
        <f>'Financial Statements'!C96/'Financial Statements'!C45*-1</f>
        <v>0.28105983772819471</v>
      </c>
      <c r="E78" s="33">
        <f>'Financial Statements'!D96/'Financial Statements'!D45*-1</f>
        <v>0.19879780231735844</v>
      </c>
      <c r="F78" s="33"/>
      <c r="G78" s="25"/>
      <c r="H78" t="s">
        <v>171</v>
      </c>
    </row>
  </sheetData>
  <mergeCells count="1">
    <mergeCell ref="C2:E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vt:lpstr>
      <vt:lpstr>Financial Statements</vt:lpstr>
      <vt:lpstr>List of Ratios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Shamla Yoosoof</cp:lastModifiedBy>
  <dcterms:created xsi:type="dcterms:W3CDTF">2020-05-18T16:32:37Z</dcterms:created>
  <dcterms:modified xsi:type="dcterms:W3CDTF">2023-11-22T17:28:54Z</dcterms:modified>
</cp:coreProperties>
</file>