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"/>
    </mc:Choice>
  </mc:AlternateContent>
  <xr:revisionPtr revIDLastSave="0" documentId="8_{88EED76F-1C90-43EF-9997-36387124208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3" l="1"/>
  <c r="D94" i="3"/>
  <c r="E93" i="3"/>
  <c r="D93" i="3"/>
  <c r="E92" i="3"/>
  <c r="F92" i="3"/>
  <c r="D92" i="3"/>
  <c r="D85" i="3"/>
  <c r="D80" i="3"/>
  <c r="C82" i="3"/>
  <c r="D82" i="3" s="1"/>
  <c r="D79" i="3"/>
  <c r="C80" i="3"/>
  <c r="C79" i="3"/>
  <c r="E73" i="3"/>
  <c r="D73" i="3"/>
  <c r="C73" i="3"/>
  <c r="E72" i="3"/>
  <c r="D72" i="3"/>
  <c r="C72" i="3"/>
  <c r="E71" i="3"/>
  <c r="D71" i="3"/>
  <c r="C71" i="3"/>
  <c r="E69" i="3"/>
  <c r="D69" i="3"/>
  <c r="C69" i="3"/>
  <c r="E68" i="3"/>
  <c r="D68" i="3"/>
  <c r="C68" i="3"/>
  <c r="E63" i="3"/>
  <c r="E64" i="3"/>
  <c r="E65" i="3"/>
  <c r="E66" i="3"/>
  <c r="D66" i="3"/>
  <c r="C66" i="3"/>
  <c r="D64" i="3"/>
  <c r="D65" i="3"/>
  <c r="C64" i="3"/>
  <c r="C65" i="3"/>
  <c r="D63" i="3"/>
  <c r="C63" i="3"/>
  <c r="D56" i="3"/>
  <c r="E56" i="3"/>
  <c r="C56" i="3"/>
  <c r="D57" i="3"/>
  <c r="E57" i="3"/>
  <c r="C57" i="3"/>
  <c r="D44" i="3"/>
  <c r="E44" i="3"/>
  <c r="C44" i="3"/>
  <c r="D54" i="3"/>
  <c r="D43" i="3"/>
  <c r="E43" i="3"/>
  <c r="C43" i="3"/>
  <c r="D53" i="3"/>
  <c r="E53" i="3"/>
  <c r="C53" i="3"/>
  <c r="C39" i="3"/>
  <c r="D41" i="3"/>
  <c r="E41" i="3"/>
  <c r="C41" i="3"/>
  <c r="D40" i="3"/>
  <c r="C38" i="3"/>
  <c r="C47" i="3" s="1"/>
  <c r="C46" i="3" s="1"/>
  <c r="H69" i="1"/>
  <c r="H67" i="1"/>
  <c r="H68" i="1"/>
  <c r="G68" i="1"/>
  <c r="D37" i="3"/>
  <c r="D55" i="3" s="1"/>
  <c r="E37" i="3"/>
  <c r="E55" i="3" s="1"/>
  <c r="C37" i="3"/>
  <c r="C55" i="3" s="1"/>
  <c r="E36" i="3"/>
  <c r="D36" i="3"/>
  <c r="C36" i="3"/>
  <c r="E35" i="3"/>
  <c r="D35" i="3"/>
  <c r="C35" i="3"/>
  <c r="D34" i="3"/>
  <c r="E34" i="3"/>
  <c r="C34" i="3"/>
  <c r="E31" i="3"/>
  <c r="E30" i="3" s="1"/>
  <c r="D31" i="3"/>
  <c r="D30" i="3" s="1"/>
  <c r="C31" i="3"/>
  <c r="C30" i="3" s="1"/>
  <c r="J70" i="1"/>
  <c r="E29" i="3"/>
  <c r="D29" i="3"/>
  <c r="C29" i="3"/>
  <c r="E27" i="3"/>
  <c r="D27" i="3"/>
  <c r="C27" i="3"/>
  <c r="C25" i="3"/>
  <c r="C26" i="3"/>
  <c r="E26" i="3"/>
  <c r="D26" i="3"/>
  <c r="E58" i="1"/>
  <c r="E25" i="3"/>
  <c r="D25" i="3"/>
  <c r="E22" i="3"/>
  <c r="C22" i="3"/>
  <c r="D22" i="3"/>
  <c r="I15" i="1"/>
  <c r="E21" i="3"/>
  <c r="E28" i="3" s="1"/>
  <c r="D21" i="3"/>
  <c r="D20" i="3" s="1"/>
  <c r="C21" i="3"/>
  <c r="C28" i="3" s="1"/>
  <c r="F13" i="1"/>
  <c r="E19" i="3"/>
  <c r="E18" i="3" s="1"/>
  <c r="D19" i="3"/>
  <c r="D18" i="3" s="1"/>
  <c r="C19" i="3"/>
  <c r="C18" i="3" s="1"/>
  <c r="E17" i="3"/>
  <c r="D17" i="3"/>
  <c r="C17" i="3"/>
  <c r="G9" i="1"/>
  <c r="B56" i="1"/>
  <c r="C14" i="3" s="1"/>
  <c r="C13" i="3" s="1"/>
  <c r="E14" i="3"/>
  <c r="E13" i="3" s="1"/>
  <c r="D14" i="3"/>
  <c r="D13" i="3" s="1"/>
  <c r="F38" i="1"/>
  <c r="E11" i="3"/>
  <c r="D11" i="3"/>
  <c r="C11" i="3"/>
  <c r="E10" i="3"/>
  <c r="D10" i="3"/>
  <c r="C10" i="3"/>
  <c r="K31" i="1"/>
  <c r="J31" i="1"/>
  <c r="I31" i="1"/>
  <c r="E9" i="3"/>
  <c r="D9" i="3"/>
  <c r="G39" i="1"/>
  <c r="C9" i="3"/>
  <c r="C8" i="3"/>
  <c r="E8" i="3"/>
  <c r="D8" i="3"/>
  <c r="B42" i="1"/>
  <c r="E7" i="3"/>
  <c r="D7" i="3"/>
  <c r="E6" i="3"/>
  <c r="D6" i="3"/>
  <c r="E5" i="3"/>
  <c r="D5" i="3"/>
  <c r="D108" i="1"/>
  <c r="C108" i="1"/>
  <c r="B108" i="1"/>
  <c r="D99" i="1"/>
  <c r="C99" i="1"/>
  <c r="B99" i="1"/>
  <c r="C83" i="3" l="1"/>
  <c r="E54" i="3"/>
  <c r="C54" i="3"/>
  <c r="C42" i="3"/>
  <c r="C50" i="3" s="1"/>
  <c r="D39" i="3"/>
  <c r="E39" i="3" s="1"/>
  <c r="C49" i="3"/>
  <c r="C48" i="3" s="1"/>
  <c r="D28" i="3"/>
  <c r="E20" i="3"/>
  <c r="E40" i="3"/>
  <c r="D38" i="3"/>
  <c r="D47" i="3" s="1"/>
  <c r="D46" i="3" s="1"/>
  <c r="E12" i="3"/>
  <c r="C12" i="3"/>
  <c r="D12" i="3"/>
  <c r="C20" i="3"/>
  <c r="C7" i="3"/>
  <c r="C6" i="3"/>
  <c r="C5" i="3"/>
  <c r="D68" i="1"/>
  <c r="C68" i="1"/>
  <c r="B68" i="1"/>
  <c r="D61" i="1"/>
  <c r="C61" i="1"/>
  <c r="B61" i="1"/>
  <c r="D56" i="1"/>
  <c r="C56" i="1"/>
  <c r="C62" i="1" s="1"/>
  <c r="B62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84" i="3" l="1"/>
  <c r="D83" i="3"/>
  <c r="D49" i="3"/>
  <c r="D48" i="3" s="1"/>
  <c r="C51" i="3"/>
  <c r="C52" i="3" s="1"/>
  <c r="D42" i="3"/>
  <c r="E49" i="3"/>
  <c r="E48" i="3" s="1"/>
  <c r="E42" i="3"/>
  <c r="E38" i="3"/>
  <c r="E47" i="3" s="1"/>
  <c r="E46" i="3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53" i="3"/>
  <c r="A55" i="3" s="1"/>
  <c r="A56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84" i="3" l="1"/>
  <c r="C85" i="3"/>
  <c r="D51" i="3"/>
  <c r="D52" i="3" s="1"/>
  <c r="D50" i="3"/>
  <c r="E51" i="3"/>
  <c r="E52" i="3" s="1"/>
  <c r="E50" i="3"/>
  <c r="A24" i="3"/>
  <c r="A25" i="3" s="1"/>
  <c r="A26" i="3" s="1"/>
  <c r="A27" i="3" s="1"/>
  <c r="A28" i="3" s="1"/>
  <c r="A29" i="3" s="1"/>
  <c r="A30" i="3" s="1"/>
  <c r="A33" i="3" l="1"/>
  <c r="A45" i="3" s="1"/>
  <c r="A46" i="3" s="1"/>
  <c r="A47" i="3" s="1"/>
  <c r="A48" i="3" s="1"/>
  <c r="A49" i="3" s="1"/>
  <c r="A50" i="3" s="1"/>
  <c r="A52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<sst xmlns="http://schemas.openxmlformats.org/spreadsheetml/2006/main" count="218" uniqueCount="190">
  <si>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</si>
  <si>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</si>
  <si>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</si>
  <si>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</si>
  <si>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</si>
  <si>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</si>
  <si>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</si>
  <si>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</si>
  <si>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</si>
  <si>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</si>
  <si>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</si>
  <si>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</si>
  <si>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</si>
  <si>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</si>
  <si>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</si>
  <si>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</si>
  <si>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</si>
  <si>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</si>
  <si>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</si>
  <si>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</si>
  <si>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</si>
  <si>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</si>
  <si>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</si>
  <si>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</si>
  <si>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</si>
  <si>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</si>
  <si>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</si>
  <si>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</si>
  <si>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</si>
  <si>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</si>
  <si>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</si>
  <si>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</si>
  <si>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</si>
  <si>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</si>
  <si>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</si>
  <si>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</si>
  <si>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</si>
  <si>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</si>
  <si>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</si>
  <si>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</si>
  <si>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</si>
  <si>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</si>
  <si>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</si>
  <si>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</si>
  <si>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</si>
  <si>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</si>
  <si>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</si>
  <si>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</si>
  <si>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</si>
  <si>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</si>
  <si>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</si>
  <si>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</si>
  <si>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</si>
  <si>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</si>
  <si>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</si>
  <si>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</si>
  <si>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</si>
  <si>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</si>
  <si>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</si>
  <si>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</si>
  <si>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</si>
  <si>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</si>
  <si>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</si>
  <si>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</si>
  <si>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</si>
  <si>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</si>
  <si>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</si>
  <si>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</si>
  <si>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</si>
  <si>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</si>
  <si>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</si>
  <si>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</si>
  <si>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</si>
  <si>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</si>
  <si>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</si>
  <si>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</si>
  <si>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</si>
  <si>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</si>
  <si>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</si>
  <si>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</si>
  <si>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</si>
  <si>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</si>
  <si>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</si>
  <si>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</si>
  <si>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</si>
  <si>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</si>
  <si>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</si>
  <si>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</si>
  <si>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</si>
  <si>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</si>
  <si>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</si>
  <si>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</si>
  <si>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</si>
  <si>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</si>
  <si>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</si>
  <si>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</si>
  <si>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</si>
  <si>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</si>
  <si>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</si>
  <si>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</si>
  <si>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</si>
  <si>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</si>
  <si>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</si>
  <si>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</si>
  <si>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</si>
  <si>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</si>
  <si>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</si>
  <si>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</si>
  <si>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</si>
  <si>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</si>
  <si>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</si>
  <si>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</si>
  <si>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</si>
  <si>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</si>
  <si>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</si>
  <si>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</si>
  <si>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</si>
  <si>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</si>
  <si>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</si>
  <si>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</si>
  <si>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</si>
  <si>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</si>
  <si>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</si>
  <si>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</si>
  <si>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</si>
  <si>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</si>
  <si>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</si>
  <si>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</si>
  <si>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</si>
  <si>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</si>
  <si>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</si>
  <si>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</si>
  <si>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</si>
  <si>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</si>
  <si>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</si>
  <si>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</si>
  <si>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</si>
  <si>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</si>
  <si>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</si>
  <si>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</si>
  <si>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</si>
  <si>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</si>
  <si>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</si>
  <si>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</si>
  <si>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</si>
  <si>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</si>
  <si>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</si>
  <si>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</si>
  <si>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</si>
  <si>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</si>
  <si>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shares outstanding</t>
  </si>
  <si>
    <t>Weighted Average Number of Shares Outstanding</t>
  </si>
  <si>
    <t>Share Price</t>
  </si>
  <si>
    <t>Number of Shares Outstanding</t>
  </si>
  <si>
    <t>Dividend = Net income - Retained Earnings</t>
  </si>
  <si>
    <t>Annual dividend per share</t>
  </si>
  <si>
    <t>Capital Employed= Total Asset - Current Liabilities</t>
  </si>
  <si>
    <t>Market Capitalization</t>
  </si>
  <si>
    <t>GROWTH RATE FOR SALES, GROSS PROFITS, EACH OPERATING EXPENSES &amp; THE MAINLINE ITEMS OF THE BALANCE SHEET</t>
  </si>
  <si>
    <t>EXPENSES &amp; THE MAINLINE ITEMS OF THE BALANCE SHEET</t>
  </si>
  <si>
    <t>Growth Metrics</t>
  </si>
  <si>
    <t>Sales (Products)</t>
  </si>
  <si>
    <t>Sales (Services)</t>
  </si>
  <si>
    <t>Total Net Sales</t>
  </si>
  <si>
    <t>Gross Profits</t>
  </si>
  <si>
    <t>Operating Expenses:</t>
  </si>
  <si>
    <t xml:space="preserve">    Research and development</t>
  </si>
  <si>
    <t xml:space="preserve">    Selling, general &amp; administration</t>
  </si>
  <si>
    <t>Present value</t>
  </si>
  <si>
    <t xml:space="preserve"> Previous Value</t>
  </si>
  <si>
    <t>Growth rate</t>
  </si>
  <si>
    <t>Mainline items of the balance sheet:</t>
  </si>
  <si>
    <t xml:space="preserve">    Total Assets</t>
  </si>
  <si>
    <t xml:space="preserve">    Liabilities</t>
  </si>
  <si>
    <t xml:space="preserve">    Total shreholders' Equity</t>
  </si>
  <si>
    <t>Margins/ as a % of net sales for; COGS, Gross profits,</t>
  </si>
  <si>
    <t>Metrics</t>
  </si>
  <si>
    <t>each operating expenses, operating income for year end 2022</t>
  </si>
  <si>
    <t>Cost of Good Sold</t>
  </si>
  <si>
    <t>Gross profit</t>
  </si>
  <si>
    <t>Operating expensis:</t>
  </si>
  <si>
    <t xml:space="preserve">       Research and development</t>
  </si>
  <si>
    <t xml:space="preserve">       Selling, general &amp; administration</t>
  </si>
  <si>
    <t>Net Profit</t>
  </si>
  <si>
    <t>Margin/%</t>
  </si>
  <si>
    <t>CAPEX as a percentage of fixed assets</t>
  </si>
  <si>
    <r>
      <t xml:space="preserve">Estimation of </t>
    </r>
    <r>
      <rPr>
        <b/>
        <sz val="11"/>
        <color theme="1"/>
        <rFont val="Calibri"/>
        <family val="2"/>
        <scheme val="minor"/>
      </rPr>
      <t>Income Tax rate, CAPEX as a percentage of sales</t>
    </r>
  </si>
  <si>
    <t>Income Tax Rate</t>
  </si>
  <si>
    <t>CAPEX as a Percentage of Sales</t>
  </si>
  <si>
    <t>CAPEX as a Percentage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</si>
</sst>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0.0%"/>
    <numFmt numFmtId="169" formatCode="0.000000"/>
    <numFmt numFmtId="170" formatCode="0.00000"/>
    <numFmt numFmtId="171" formatCode="0.0000"/>
    <numFmt numFmtId="172" formatCode="_-* #,##0.0_-;\-* #,##0.0_-;_-* &quot;-&quot;?_-;_-@_-"/>
    <numFmt numFmtId="173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8" fillId="0" borderId="0" xfId="0" applyFont="1"/>
    <xf numFmtId="9" fontId="0" fillId="0" borderId="0" xfId="3" applyFont="1"/>
    <xf numFmtId="0" fontId="0" fillId="0" borderId="0" xfId="0" quotePrefix="1"/>
    <xf numFmtId="168" fontId="0" fillId="0" borderId="0" xfId="3" applyNumberFormat="1" applyFon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2" fontId="2" fillId="0" borderId="0" xfId="0" applyNumberFormat="1" applyFont="1"/>
    <xf numFmtId="168" fontId="0" fillId="0" borderId="0" xfId="0" applyNumberFormat="1"/>
    <xf numFmtId="166" fontId="2" fillId="0" borderId="0" xfId="0" applyNumberFormat="1" applyFont="1"/>
    <xf numFmtId="173" fontId="0" fillId="0" borderId="0" xfId="3" applyNumberFormat="1" applyFont="1"/>
    <xf numFmtId="0" fontId="9" fillId="5" borderId="0" xfId="0" applyFont="1" applyFill="1" applyAlignment="1">
      <alignment horizontal="left" indent="1"/>
    </xf>
    <xf numFmtId="0" fontId="9" fillId="5" borderId="0" xfId="0" applyFont="1" applyFill="1"/>
    <xf numFmtId="171" fontId="9" fillId="5" borderId="0" xfId="0" applyNumberFormat="1" applyFont="1" applyFill="1"/>
    <xf numFmtId="1" fontId="9" fillId="5" borderId="0" xfId="0" applyNumberFormat="1" applyFont="1" applyFill="1"/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6" workbookViewId="0">
      <selection activeCell="A19" sqref="A1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36" workbookViewId="0">
      <selection activeCell="B47" sqref="B47"/>
    </sheetView>
  </sheetViews>
  <sheetFormatPr defaultRowHeight="14.4" x14ac:dyDescent="0.3"/>
  <cols>
    <col min="1" max="1" width="140.5546875" customWidth="1"/>
    <col min="2" max="3" width="11.5546875" bestFit="1" customWidth="1"/>
    <col min="4" max="4" width="11.6640625" bestFit="1" customWidth="1"/>
    <col min="7" max="7" width="42.88671875" customWidth="1"/>
    <col min="8" max="8" width="12" bestFit="1" customWidth="1"/>
    <col min="9" max="9" width="13.5546875" customWidth="1"/>
    <col min="10" max="10" width="17.777343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51" t="s">
        <v>1</v>
      </c>
      <c r="B2" s="51"/>
      <c r="C2" s="51"/>
      <c r="D2" s="51"/>
    </row>
    <row r="3" spans="1:10" x14ac:dyDescent="0.3">
      <c r="B3" s="50" t="s">
        <v>23</v>
      </c>
      <c r="C3" s="50"/>
      <c r="D3" s="5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  <c r="G9" s="25">
        <f>B8-B12</f>
        <v>170782</v>
      </c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I11" s="25"/>
      <c r="J11" s="26"/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5">
        <f>B13-B17</f>
        <v>119437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I15">
        <f>B22/B8</f>
        <v>0.25309640705199732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F16" s="25"/>
    </row>
    <row r="17" spans="1:11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11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11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1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1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11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H22" s="25"/>
    </row>
    <row r="23" spans="1:11" ht="15" thickTop="1" x14ac:dyDescent="0.3">
      <c r="A23" t="s">
        <v>19</v>
      </c>
    </row>
    <row r="24" spans="1:11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11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1" x14ac:dyDescent="0.3">
      <c r="A26" t="s">
        <v>22</v>
      </c>
    </row>
    <row r="27" spans="1:11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1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1" x14ac:dyDescent="0.3">
      <c r="A31" s="51" t="s">
        <v>24</v>
      </c>
      <c r="B31" s="51"/>
      <c r="C31" s="51"/>
      <c r="D31" s="51"/>
      <c r="I31" s="27">
        <f>(B51/B12)*365</f>
        <v>104.68527730310539</v>
      </c>
      <c r="J31" s="27">
        <f>(C51/C12)*365</f>
        <v>93.851071222315596</v>
      </c>
      <c r="K31" s="27">
        <f>(D51/D12)*365</f>
        <v>91.048189715674198</v>
      </c>
    </row>
    <row r="32" spans="1:11" x14ac:dyDescent="0.3">
      <c r="B32" s="50" t="s">
        <v>142</v>
      </c>
      <c r="C32" s="50"/>
      <c r="D32" s="50"/>
    </row>
    <row r="33" spans="1:8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8" x14ac:dyDescent="0.3">
      <c r="A35" t="s">
        <v>25</v>
      </c>
    </row>
    <row r="36" spans="1:8" x14ac:dyDescent="0.3">
      <c r="A36" s="1" t="s">
        <v>26</v>
      </c>
      <c r="B36" s="12">
        <v>23646</v>
      </c>
      <c r="C36" s="12">
        <v>34940</v>
      </c>
      <c r="D36" s="12">
        <v>38016</v>
      </c>
      <c r="H36" s="25"/>
    </row>
    <row r="37" spans="1:8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3">
      <c r="A38" s="1" t="s">
        <v>28</v>
      </c>
      <c r="B38" s="12">
        <v>28184</v>
      </c>
      <c r="C38" s="12">
        <v>26278</v>
      </c>
      <c r="D38" s="12">
        <v>16120</v>
      </c>
      <c r="F38">
        <f>365/(D8/D38)</f>
        <v>21.433437152796753</v>
      </c>
      <c r="H38" s="25"/>
    </row>
    <row r="39" spans="1:8" x14ac:dyDescent="0.3">
      <c r="A39" s="1" t="s">
        <v>29</v>
      </c>
      <c r="B39" s="12">
        <v>4946</v>
      </c>
      <c r="C39" s="12">
        <v>6580</v>
      </c>
      <c r="D39" s="12">
        <v>4061</v>
      </c>
      <c r="G39" s="25">
        <f>365/(B10/B39)</f>
        <v>8.9605451901266182</v>
      </c>
    </row>
    <row r="40" spans="1:8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8" x14ac:dyDescent="0.3">
      <c r="A43" t="s">
        <v>48</v>
      </c>
      <c r="B43" s="12"/>
      <c r="C43" s="12"/>
      <c r="D43" s="12"/>
    </row>
    <row r="44" spans="1:8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8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  <c r="E58" s="31">
        <f>(B55+B59)/B48</f>
        <v>0.31207778769967826</v>
      </c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10" x14ac:dyDescent="0.3">
      <c r="A65" s="1" t="s">
        <v>54</v>
      </c>
      <c r="B65" s="12">
        <v>64849</v>
      </c>
      <c r="C65" s="12">
        <v>57365</v>
      </c>
      <c r="D65" s="12">
        <v>50779</v>
      </c>
      <c r="G65" s="7"/>
    </row>
    <row r="66" spans="1:10" x14ac:dyDescent="0.3">
      <c r="A66" s="1" t="s">
        <v>43</v>
      </c>
      <c r="B66" s="12">
        <v>-3068</v>
      </c>
      <c r="C66" s="12">
        <v>5562</v>
      </c>
      <c r="D66" s="12">
        <v>14966</v>
      </c>
      <c r="G66" s="2">
        <v>4443236</v>
      </c>
    </row>
    <row r="67" spans="1:10" x14ac:dyDescent="0.3">
      <c r="A67" s="1" t="s">
        <v>44</v>
      </c>
      <c r="B67" s="12">
        <v>-11109</v>
      </c>
      <c r="C67" s="12">
        <v>163</v>
      </c>
      <c r="D67" s="12">
        <v>-406</v>
      </c>
      <c r="G67" s="12">
        <v>4754986</v>
      </c>
      <c r="H67" s="36">
        <f>G67*0.5</f>
        <v>2377493</v>
      </c>
    </row>
    <row r="68" spans="1:10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G68" s="25">
        <f>G66+G67</f>
        <v>9198222</v>
      </c>
      <c r="H68" s="36">
        <f>G68*0.5</f>
        <v>4599111</v>
      </c>
    </row>
    <row r="69" spans="1:10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G69" s="7" t="s">
        <v>151</v>
      </c>
      <c r="H69" s="37">
        <f>H67+H68</f>
        <v>6976604</v>
      </c>
      <c r="J69" s="7" t="s">
        <v>150</v>
      </c>
    </row>
    <row r="70" spans="1:10" ht="15" thickTop="1" x14ac:dyDescent="0.3">
      <c r="I70">
        <v>1.0000000000000001E-5</v>
      </c>
      <c r="J70" s="24">
        <f>I70*I71</f>
        <v>47.549860000000002</v>
      </c>
    </row>
    <row r="71" spans="1:10" x14ac:dyDescent="0.3">
      <c r="A71" s="51" t="s">
        <v>55</v>
      </c>
      <c r="B71" s="51"/>
      <c r="C71" s="51"/>
      <c r="D71" s="51"/>
      <c r="I71" s="2">
        <v>4754986</v>
      </c>
    </row>
    <row r="72" spans="1:10" x14ac:dyDescent="0.3">
      <c r="B72" s="50" t="s">
        <v>23</v>
      </c>
      <c r="C72" s="50"/>
      <c r="D72" s="50"/>
    </row>
    <row r="73" spans="1:10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10" x14ac:dyDescent="0.3">
      <c r="A75" s="7" t="s">
        <v>56</v>
      </c>
      <c r="B75" s="15"/>
      <c r="C75" s="15"/>
      <c r="D75" s="15"/>
    </row>
    <row r="76" spans="1:10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10" x14ac:dyDescent="0.3">
      <c r="A77" s="11" t="s">
        <v>18</v>
      </c>
      <c r="B77" s="15"/>
      <c r="C77" s="15"/>
      <c r="D77" s="15"/>
    </row>
    <row r="78" spans="1:10" x14ac:dyDescent="0.3">
      <c r="A78" s="1" t="s">
        <v>58</v>
      </c>
      <c r="B78" s="12"/>
      <c r="C78" s="12"/>
      <c r="D78" s="12"/>
    </row>
    <row r="79" spans="1:10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10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tabSelected="1" topLeftCell="A69" workbookViewId="0">
      <selection activeCell="D94" sqref="D94"/>
    </sheetView>
  </sheetViews>
  <sheetFormatPr defaultRowHeight="14.4" x14ac:dyDescent="0.3"/>
  <cols>
    <col min="1" max="1" width="4.6640625" customWidth="1"/>
    <col min="2" max="2" width="52.109375" customWidth="1"/>
    <col min="3" max="3" width="15.21875" customWidth="1"/>
    <col min="4" max="4" width="16.33203125" customWidth="1"/>
    <col min="5" max="5" width="12.88671875" customWidth="1"/>
    <col min="7" max="7" width="13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50" t="s">
        <v>23</v>
      </c>
      <c r="D2" s="50"/>
      <c r="E2" s="50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SUM('Financial Statements'!B42)/SUM('Financial Statements'!B56)</f>
        <v>0.87935602862672257</v>
      </c>
      <c r="D5" s="24">
        <f>SUM('Financial Statements'!C42)/SUM('Financial Statements'!C56)</f>
        <v>1.0745531195957954</v>
      </c>
      <c r="E5" s="24">
        <f>SUM('Financial Statements'!D42)/SUM('Financial Statements'!D56)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SUM(('Financial Statements'!B42)-('Financial Statements'!B39))/SUM('Financial Statements'!B56)</f>
        <v>0.84723539114961488</v>
      </c>
      <c r="D6" s="24">
        <f>SUM(('Financial Statements'!C42)-('Financial Statements'!C39))/SUM('Financial Statements'!C56)</f>
        <v>1.0221149018576519</v>
      </c>
      <c r="E6" s="24">
        <f>SUM(('Financial Statements'!D42)-('Financial Statements'!D39))/SUM('Financial Statements'!D56)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3">
        <f>SUM(('Financial Statements'!B36:B37))/SUM('Financial Statements'!B56)</f>
        <v>0.31369900377966253</v>
      </c>
      <c r="D7" s="24">
        <f>SUM(('Financial Statements'!C36:C37))/SUM('Financial Statements'!C56)</f>
        <v>0.49919111259872012</v>
      </c>
      <c r="E7" s="23">
        <f>SUM(('Financial Statements'!D36:D37))/SUM('Financial Statements'!D56)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7">
        <f>(('Financial Statements'!B42)-('Financial Statements'!B39))/(('Financial Statements'!B17/365))</f>
        <v>927.40354464894335</v>
      </c>
      <c r="D8" s="27">
        <f>(('Financial Statements'!C42)-('Financial Statements'!C39))/(('Financial Statements'!C17/365))</f>
        <v>1066.6812495727663</v>
      </c>
      <c r="E8" s="27">
        <f>(('Financial Statements'!D42)-('Financial Statements'!D39))/(('Financial Statements'!D17/365))</f>
        <v>1318.2212682321299</v>
      </c>
    </row>
    <row r="9" spans="1:10" x14ac:dyDescent="0.3">
      <c r="A9" s="18">
        <f t="shared" si="0"/>
        <v>1.5000000000000004</v>
      </c>
      <c r="B9" s="1" t="s">
        <v>104</v>
      </c>
      <c r="C9" s="27">
        <f>365/('Financial Statements'!B10/'Financial Statements'!B39)</f>
        <v>8.9605451901266182</v>
      </c>
      <c r="D9" s="27">
        <f>365/('Financial Statements'!C10/'Financial Statements'!C39)</f>
        <v>12.491548167642746</v>
      </c>
      <c r="E9" s="27">
        <f>365/('Financial Statements'!D10/'Financial Statements'!D39)</f>
        <v>9.797767143027114</v>
      </c>
    </row>
    <row r="10" spans="1:10" x14ac:dyDescent="0.3">
      <c r="A10" s="18">
        <f t="shared" si="0"/>
        <v>1.6000000000000005</v>
      </c>
      <c r="B10" s="1" t="s">
        <v>105</v>
      </c>
      <c r="C10" s="27">
        <f>('Financial Statements'!B51/'Financial Statements'!B12)*365</f>
        <v>104.68527730310539</v>
      </c>
      <c r="D10" s="27">
        <f>('Financial Statements'!C51/'Financial Statements'!C12)*365</f>
        <v>93.851071222315596</v>
      </c>
      <c r="E10" s="27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18">
        <f>('Financial Statements'!B38/'Financial Statements'!B8)*365</f>
        <v>26.087825363656648</v>
      </c>
      <c r="D11" s="18">
        <f>('Financial Statements'!C38/'Financial Statements'!C8)*365</f>
        <v>26.219311841713207</v>
      </c>
      <c r="E11" s="18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9">
        <f>((C11/'Financial Statements'!B8)+(C9/'Financial Statements'!B12)+(C10/'Financial Statements'!B12))*365</f>
        <v>0.20970544800933413</v>
      </c>
      <c r="D12" s="29">
        <f>((D11/'Financial Statements'!C8)+(D9/'Financial Statements'!C12)+(D10/'Financial Statements'!C12))*365</f>
        <v>0.20840732171329115</v>
      </c>
      <c r="E12" s="29">
        <f>((E11/'Financial Statements'!D8)+(E9/'Financial Statements'!D12)+(E10/'Financial Statements'!D12))*365</f>
        <v>0.24558362360136524</v>
      </c>
    </row>
    <row r="13" spans="1:10" x14ac:dyDescent="0.3">
      <c r="A13" s="18">
        <f t="shared" si="0"/>
        <v>1.9000000000000008</v>
      </c>
      <c r="B13" s="1" t="s">
        <v>108</v>
      </c>
      <c r="C13" s="30">
        <f>C14/('Financial Statements'!B8)</f>
        <v>-4.711052727678481E-2</v>
      </c>
      <c r="D13" s="30">
        <f>D14/('Financial Statements'!C8)</f>
        <v>2.557289573748623E-2</v>
      </c>
      <c r="E13" s="30">
        <f>E14/('Financial Statements'!D8)</f>
        <v>0.13959528623208203</v>
      </c>
    </row>
    <row r="14" spans="1:10" x14ac:dyDescent="0.3">
      <c r="A14" s="18"/>
      <c r="B14" s="3" t="s">
        <v>109</v>
      </c>
      <c r="C14">
        <f>('Financial Statements'!B42)-('Financial Statements'!B56)</f>
        <v>-18577</v>
      </c>
      <c r="D14">
        <f>('Financial Statements'!C42)-('Financial Statements'!C56)</f>
        <v>9355</v>
      </c>
      <c r="E14">
        <f>('Financial Statements'!D42)-('Financial Statements'!D56)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  <c r="C16" s="31"/>
    </row>
    <row r="17" spans="1:5" x14ac:dyDescent="0.3">
      <c r="A17" s="18">
        <f>+A16+0.1</f>
        <v>2.1</v>
      </c>
      <c r="B17" s="1" t="s">
        <v>9</v>
      </c>
      <c r="C17" s="30">
        <f>('Financial Statements'!B8-'Financial Statements'!B12)/('Financial Statements'!B8)</f>
        <v>0.43309630561360085</v>
      </c>
      <c r="D17" s="32">
        <f>('Financial Statements'!C8-'Financial Statements'!C12)/('Financial Statements'!C8)</f>
        <v>0.41779359625167778</v>
      </c>
      <c r="E17" s="32">
        <f>('Financial Statements'!D8-'Financial Statements'!D12)/('Financial Statements'!D8)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30">
        <f>C19/('Financial Statements'!B8)</f>
        <v>0.33815757440506383</v>
      </c>
      <c r="D18" s="30">
        <f>D19/('Financial Statements'!C8)</f>
        <v>0.36640178012503521</v>
      </c>
      <c r="E18" s="30">
        <f>E19/('Financial Statements'!D8)</f>
        <v>0.29495655975083329</v>
      </c>
    </row>
    <row r="19" spans="1:5" x14ac:dyDescent="0.3">
      <c r="A19" s="18"/>
      <c r="B19" s="3" t="s">
        <v>112</v>
      </c>
      <c r="C19">
        <f>('Financial Statements'!B22)+('Financial Statements'!B113)+('Financial Statements'!B114)+('Financial Statements'!B79)</f>
        <v>133345</v>
      </c>
      <c r="D19">
        <f>('Financial Statements'!C22)+('Financial Statements'!C113)+('Financial Statements'!C114)+('Financial Statements'!C79)</f>
        <v>134036</v>
      </c>
      <c r="E19">
        <f>('Financial Statements'!D22)+('Financial Statements'!D113)+('Financial Statements'!D114)+('Financial Statements'!D79)</f>
        <v>80970</v>
      </c>
    </row>
    <row r="20" spans="1:5" x14ac:dyDescent="0.3">
      <c r="A20" s="18">
        <f>+A18+0.1</f>
        <v>2.3000000000000003</v>
      </c>
      <c r="B20" s="1" t="s">
        <v>113</v>
      </c>
      <c r="C20" s="32">
        <f>C21/'Financial Statements'!B8</f>
        <v>0.30288744395528594</v>
      </c>
      <c r="D20" s="32">
        <f>D21/'Financial Statements'!C8</f>
        <v>0.29782377527561593</v>
      </c>
      <c r="E20" s="32">
        <f>E21/'Financial Statements'!D8</f>
        <v>0.24147314354406862</v>
      </c>
    </row>
    <row r="21" spans="1:5" x14ac:dyDescent="0.3">
      <c r="A21" s="18"/>
      <c r="B21" s="3" t="s">
        <v>114</v>
      </c>
      <c r="C21">
        <f>('Financial Statements'!B13)-('Financial Statements'!B17)</f>
        <v>119437</v>
      </c>
      <c r="D21">
        <f>('Financial Statements'!C13)-('Financial Statements'!C17)</f>
        <v>108949</v>
      </c>
      <c r="E21">
        <f>('Financial Statements'!D13)-('Financial Statements'!D17)</f>
        <v>66288</v>
      </c>
    </row>
    <row r="22" spans="1:5" x14ac:dyDescent="0.3">
      <c r="A22" s="18">
        <f>+A20+0.1</f>
        <v>2.4000000000000004</v>
      </c>
      <c r="B22" s="1" t="s">
        <v>115</v>
      </c>
      <c r="C22" s="32">
        <f>'Financial Statements'!B22/'Financial Statements'!B8</f>
        <v>0.25309640705199732</v>
      </c>
      <c r="D22" s="32">
        <f>'Financial Statements'!C22/'Financial Statements'!C8</f>
        <v>0.25881793355694238</v>
      </c>
      <c r="E22" s="32">
        <f>'Financial Statements'!D22/'Financial Statements'!D8</f>
        <v>0.20913611278072236</v>
      </c>
    </row>
    <row r="23" spans="1:5" x14ac:dyDescent="0.3">
      <c r="A23" s="18"/>
      <c r="D23" s="30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 s="24">
        <f>'Financial Statements'!B62/('Financial Statements'!B68)</f>
        <v>5.9615369434796337</v>
      </c>
      <c r="D25" s="24">
        <f>'Financial Statements'!C62/('Financial Statements'!C48-'Financial Statements'!C62)</f>
        <v>4.5635124425423994</v>
      </c>
      <c r="E25" s="24">
        <f>'Financial Statements'!D62/('Financial Statements'!D48-'Financial Statements'!D62)</f>
        <v>3.9570394404566951</v>
      </c>
    </row>
    <row r="26" spans="1:5" x14ac:dyDescent="0.3">
      <c r="A26" s="18">
        <f t="shared" ref="A26:A30" si="1">+A25+0.1</f>
        <v>3.2</v>
      </c>
      <c r="B26" s="1" t="s">
        <v>118</v>
      </c>
      <c r="C26" s="32">
        <f>('Financial Statements'!B55+'Financial Statements'!B59)/('Financial Statements'!B48)</f>
        <v>0.31207778769967826</v>
      </c>
      <c r="D26" s="32">
        <f>('Financial Statements'!C55+'Financial Statements'!C59)/('Financial Statements'!C48)</f>
        <v>0.33822884200090025</v>
      </c>
      <c r="E26" s="32">
        <f>('Financial Statements'!D55+'Financial Statements'!D59)/('Financial Statements'!D48)</f>
        <v>0.33171960677765155</v>
      </c>
    </row>
    <row r="27" spans="1:5" x14ac:dyDescent="0.3">
      <c r="A27" s="18">
        <f t="shared" si="1"/>
        <v>3.3000000000000003</v>
      </c>
      <c r="B27" s="1" t="s">
        <v>119</v>
      </c>
      <c r="C27" s="24">
        <f>('Financial Statements'!B62)/('Financial Statements'!B62+'Financial Statements'!B68)</f>
        <v>0.85635355983614692</v>
      </c>
      <c r="D27" s="24">
        <f>('Financial Statements'!C62)/('Financial Statements'!C62+'Financial Statements'!C68)</f>
        <v>0.82025743443057308</v>
      </c>
      <c r="E27" s="24">
        <f>('Financial Statements'!D62)/('Financial Statements'!D62+'Financial Statements'!D68)</f>
        <v>0.79826668477992391</v>
      </c>
    </row>
    <row r="28" spans="1:5" x14ac:dyDescent="0.3">
      <c r="A28" s="18">
        <f t="shared" si="1"/>
        <v>3.4000000000000004</v>
      </c>
      <c r="B28" s="1" t="s">
        <v>120</v>
      </c>
      <c r="C28" s="18">
        <f>C21/'Financial Statements'!B114</f>
        <v>41.68830715532286</v>
      </c>
      <c r="D28" s="18">
        <f>D21/'Financial Statements'!C114</f>
        <v>40.546706363974693</v>
      </c>
      <c r="E28" s="18">
        <f>E21/'Financial Statements'!D114</f>
        <v>22.081279147235175</v>
      </c>
    </row>
    <row r="29" spans="1:5" x14ac:dyDescent="0.3">
      <c r="A29" s="18">
        <f t="shared" si="1"/>
        <v>3.5000000000000004</v>
      </c>
      <c r="B29" s="1" t="s">
        <v>121</v>
      </c>
      <c r="C29" s="23">
        <f>'Financial Statements'!B22/'Financial Statements'!B62</f>
        <v>0.33038270938781727</v>
      </c>
      <c r="D29" s="24">
        <f>'Financial Statements'!C22/'Financial Statements'!C62</f>
        <v>0.32885048209175027</v>
      </c>
      <c r="E29" s="24">
        <f>'Financial Statements'!D22/'Financial Statements'!D62</f>
        <v>0.2220507524685843</v>
      </c>
    </row>
    <row r="30" spans="1:5" x14ac:dyDescent="0.3">
      <c r="A30" s="18">
        <f t="shared" si="1"/>
        <v>3.6000000000000005</v>
      </c>
      <c r="B30" s="1" t="s">
        <v>122</v>
      </c>
      <c r="C30" s="24">
        <f>C31/'Financial Statements'!J70</f>
        <v>1683.159529807238</v>
      </c>
      <c r="D30" s="24">
        <f>D31/'Financial Statements'!J70</f>
        <v>1358.531865288352</v>
      </c>
      <c r="E30" s="24">
        <f>E31/'Financial Statements'!J70</f>
        <v>923.40965882969999</v>
      </c>
    </row>
    <row r="31" spans="1:5" x14ac:dyDescent="0.3">
      <c r="A31" s="18"/>
      <c r="B31" s="3" t="s">
        <v>123</v>
      </c>
      <c r="C31">
        <f>'Financial Statements'!B91-'Financial Statements'!B45</f>
        <v>80034</v>
      </c>
      <c r="D31">
        <f>'Financial Statements'!C91-'Financial Statements'!C45</f>
        <v>64598</v>
      </c>
      <c r="E31">
        <f>'Financial Statements'!D91-'Financial Statements'!D45</f>
        <v>43908</v>
      </c>
    </row>
    <row r="32" spans="1:5" x14ac:dyDescent="0.3">
      <c r="A32" s="18"/>
    </row>
    <row r="33" spans="1:8" x14ac:dyDescent="0.3">
      <c r="A33" s="18">
        <f>+A24+1</f>
        <v>4</v>
      </c>
      <c r="B33" s="17" t="s">
        <v>124</v>
      </c>
    </row>
    <row r="34" spans="1:8" x14ac:dyDescent="0.3">
      <c r="A34" s="18">
        <f>+A33+0.1</f>
        <v>4.0999999999999996</v>
      </c>
      <c r="B34" s="1" t="s">
        <v>125</v>
      </c>
      <c r="C34" s="24">
        <f>'Financial Statements'!B8/('Financial Statements'!B48)</f>
        <v>1.1178523337727317</v>
      </c>
      <c r="D34" s="24">
        <f>'Financial Statements'!C8/('Financial Statements'!C48)</f>
        <v>1.0422077367080529</v>
      </c>
      <c r="E34" s="24">
        <f>'Financial Statements'!D8/('Financial Statements'!D48)</f>
        <v>0.84756150274168851</v>
      </c>
    </row>
    <row r="35" spans="1:8" x14ac:dyDescent="0.3">
      <c r="A35" s="18">
        <f t="shared" ref="A35:A37" si="2">+A34+0.1</f>
        <v>4.1999999999999993</v>
      </c>
      <c r="B35" s="1" t="s">
        <v>126</v>
      </c>
      <c r="C35" s="24">
        <f>'Financial Statements'!B8/('Financial Statements'!B47)</f>
        <v>1.8142535081665516</v>
      </c>
      <c r="D35" s="24">
        <f>'Financial Statements'!C8/('Financial Statements'!C47)</f>
        <v>1.6922966608994938</v>
      </c>
      <c r="E35" s="24">
        <f>'Financial Statements'!D8/('Financial Statements'!D47)</f>
        <v>1.5236020535590398</v>
      </c>
    </row>
    <row r="36" spans="1:8" x14ac:dyDescent="0.3">
      <c r="A36" s="18">
        <f t="shared" si="2"/>
        <v>4.2999999999999989</v>
      </c>
      <c r="B36" s="1" t="s">
        <v>127</v>
      </c>
      <c r="C36" s="24">
        <f>'Financial Statements'!B12/(('Financial Statements'!B39+'Financial Statements'!B85)/2)</f>
        <v>69.532192846034221</v>
      </c>
      <c r="D36" s="24">
        <f>'Financial Statements'!C12/(('Financial Statements'!C39+'Financial Statements'!C85)/2)</f>
        <v>108.16708989334688</v>
      </c>
      <c r="E36" s="24">
        <f>'Financial Statements'!D12/(('Financial Statements'!D39+'Financial Statements'!D85)/2)</f>
        <v>86.20183019827148</v>
      </c>
    </row>
    <row r="37" spans="1:8" x14ac:dyDescent="0.3">
      <c r="A37" s="18">
        <f t="shared" si="2"/>
        <v>4.3999999999999986</v>
      </c>
      <c r="B37" s="1" t="s">
        <v>128</v>
      </c>
      <c r="C37" s="32">
        <f>'Financial Statements'!B22/('Financial Statements'!B48)</f>
        <v>0.28292440929256851</v>
      </c>
      <c r="D37" s="32">
        <f>'Financial Statements'!C22/('Financial Statements'!C48)</f>
        <v>0.26974205275183616</v>
      </c>
      <c r="E37" s="32">
        <f>'Financial Statements'!D22/('Financial Statements'!D48)</f>
        <v>0.1772557180259843</v>
      </c>
      <c r="H37" s="7"/>
    </row>
    <row r="38" spans="1:8" s="7" customFormat="1" x14ac:dyDescent="0.3">
      <c r="A38" s="39"/>
      <c r="B38" s="41" t="s">
        <v>151</v>
      </c>
      <c r="C38" s="42">
        <f>'Financial Statements'!H69</f>
        <v>6976604</v>
      </c>
      <c r="D38" s="42">
        <f t="shared" ref="D38:E40" si="3">C38</f>
        <v>6976604</v>
      </c>
      <c r="E38" s="42">
        <f t="shared" si="3"/>
        <v>6976604</v>
      </c>
    </row>
    <row r="39" spans="1:8" s="7" customFormat="1" x14ac:dyDescent="0.3">
      <c r="A39" s="39"/>
      <c r="B39" s="41" t="s">
        <v>153</v>
      </c>
      <c r="C39" s="42">
        <f>4754986</f>
        <v>4754986</v>
      </c>
      <c r="D39" s="42">
        <f t="shared" si="3"/>
        <v>4754986</v>
      </c>
      <c r="E39" s="42">
        <f t="shared" si="3"/>
        <v>4754986</v>
      </c>
    </row>
    <row r="40" spans="1:8" s="7" customFormat="1" x14ac:dyDescent="0.3">
      <c r="A40" s="39"/>
      <c r="B40" s="41" t="s">
        <v>152</v>
      </c>
      <c r="C40" s="42">
        <v>180.95</v>
      </c>
      <c r="D40" s="42">
        <f t="shared" si="3"/>
        <v>180.95</v>
      </c>
      <c r="E40" s="42">
        <f t="shared" si="3"/>
        <v>180.95</v>
      </c>
    </row>
    <row r="41" spans="1:8" s="7" customFormat="1" x14ac:dyDescent="0.3">
      <c r="A41" s="39"/>
      <c r="B41" s="41" t="s">
        <v>154</v>
      </c>
      <c r="C41" s="42">
        <f>('Financial Statements'!B22)-('Financial Statements'!B66)</f>
        <v>102871</v>
      </c>
      <c r="D41" s="42">
        <f>('Financial Statements'!C22)-('Financial Statements'!C66)</f>
        <v>89118</v>
      </c>
      <c r="E41" s="42">
        <f>('Financial Statements'!D22)-('Financial Statements'!D66)</f>
        <v>42445</v>
      </c>
    </row>
    <row r="42" spans="1:8" s="7" customFormat="1" x14ac:dyDescent="0.3">
      <c r="A42" s="39"/>
      <c r="B42" s="41" t="s">
        <v>155</v>
      </c>
      <c r="C42" s="43">
        <f>C41/C39</f>
        <v>2.1634343402903815E-2</v>
      </c>
      <c r="D42" s="43">
        <f t="shared" ref="D42:E42" si="4">D41/D39</f>
        <v>1.874201101748775E-2</v>
      </c>
      <c r="E42" s="43">
        <f t="shared" si="4"/>
        <v>8.9264195520239176E-3</v>
      </c>
    </row>
    <row r="43" spans="1:8" s="7" customFormat="1" x14ac:dyDescent="0.3">
      <c r="A43" s="39"/>
      <c r="B43" s="41" t="s">
        <v>156</v>
      </c>
      <c r="C43" s="44">
        <f>('Financial Statements'!B48)-('Financial Statements'!B56)</f>
        <v>198773</v>
      </c>
      <c r="D43" s="43">
        <f>('Financial Statements'!C48)-('Financial Statements'!C56)</f>
        <v>225521</v>
      </c>
      <c r="E43" s="43">
        <f>('Financial Statements'!D48)-('Financial Statements'!D56)</f>
        <v>218496</v>
      </c>
    </row>
    <row r="44" spans="1:8" s="7" customFormat="1" x14ac:dyDescent="0.3">
      <c r="A44" s="39"/>
      <c r="B44" s="41" t="s">
        <v>157</v>
      </c>
      <c r="C44" s="44">
        <f>C39*C40</f>
        <v>860414716.69999993</v>
      </c>
      <c r="D44" s="44">
        <f t="shared" ref="D44:E44" si="5">D39*D40</f>
        <v>860414716.69999993</v>
      </c>
      <c r="E44" s="44">
        <f t="shared" si="5"/>
        <v>860414716.69999993</v>
      </c>
    </row>
    <row r="45" spans="1:8" x14ac:dyDescent="0.3">
      <c r="A45" s="18">
        <f>+A33+1</f>
        <v>5</v>
      </c>
      <c r="B45" s="17" t="s">
        <v>129</v>
      </c>
    </row>
    <row r="46" spans="1:8" x14ac:dyDescent="0.3">
      <c r="A46" s="18">
        <f>+A45+0.1</f>
        <v>5.0999999999999996</v>
      </c>
      <c r="B46" s="1" t="s">
        <v>130</v>
      </c>
      <c r="C46">
        <f>C40/C47</f>
        <v>19467.015586978978</v>
      </c>
      <c r="D46">
        <f>D40/D47</f>
        <v>22006.73744966443</v>
      </c>
      <c r="E46">
        <f>E40/E47</f>
        <v>24860.995565095807</v>
      </c>
    </row>
    <row r="47" spans="1:8" x14ac:dyDescent="0.3">
      <c r="A47" s="18">
        <f t="shared" ref="A47:A50" si="6">+A46+0.1</f>
        <v>5.1999999999999993</v>
      </c>
      <c r="B47" s="3" t="s">
        <v>131</v>
      </c>
      <c r="C47" s="35">
        <f>'Financial Statements'!B65/C38</f>
        <v>9.2952101050883789E-3</v>
      </c>
      <c r="D47" s="35">
        <f>'Financial Statements'!C65/D38</f>
        <v>8.2224818837359839E-3</v>
      </c>
      <c r="E47" s="35">
        <f>'Financial Statements'!D65/E38</f>
        <v>7.2784695820488016E-3</v>
      </c>
    </row>
    <row r="48" spans="1:8" x14ac:dyDescent="0.3">
      <c r="A48" s="18">
        <f t="shared" si="6"/>
        <v>5.2999999999999989</v>
      </c>
      <c r="B48" s="1" t="s">
        <v>132</v>
      </c>
      <c r="C48" s="33">
        <f>C40/C49</f>
        <v>5.1296234663821038E-4</v>
      </c>
      <c r="D48" s="33">
        <f>D40/D49</f>
        <v>5.1552421699799689E-4</v>
      </c>
      <c r="E48" s="33">
        <f>E40/E49</f>
        <v>5.5868087233203211E-4</v>
      </c>
    </row>
    <row r="49" spans="1:5" x14ac:dyDescent="0.3">
      <c r="A49" s="18">
        <f t="shared" si="6"/>
        <v>5.3999999999999986</v>
      </c>
      <c r="B49" s="3" t="s">
        <v>133</v>
      </c>
      <c r="C49" s="24">
        <f>('Financial Statements'!B48)-('Financial Statements'!B62)/C39</f>
        <v>352754.93647026509</v>
      </c>
      <c r="D49" s="24">
        <f>('Financial Statements'!C48)-('Financial Statements'!C62)/D39</f>
        <v>351001.93945050519</v>
      </c>
      <c r="E49" s="24">
        <f>('Financial Statements'!D48)-('Financial Statements'!D62)/E39</f>
        <v>323887.94562570739</v>
      </c>
    </row>
    <row r="50" spans="1:5" x14ac:dyDescent="0.3">
      <c r="A50" s="18">
        <f t="shared" si="6"/>
        <v>5.4999999999999982</v>
      </c>
      <c r="B50" s="1" t="s">
        <v>134</v>
      </c>
      <c r="C50" s="23">
        <f>C42/C47</f>
        <v>2.3274722312151668</v>
      </c>
      <c r="D50" s="23">
        <f t="shared" ref="D50:E50" si="7">D42/D47</f>
        <v>2.2793617891161704</v>
      </c>
      <c r="E50" s="23">
        <f t="shared" si="7"/>
        <v>1.2264143514509596</v>
      </c>
    </row>
    <row r="51" spans="1:5" x14ac:dyDescent="0.3">
      <c r="A51" s="18"/>
      <c r="B51" s="3" t="s">
        <v>135</v>
      </c>
      <c r="C51" s="34">
        <f>C42</f>
        <v>2.1634343402903815E-2</v>
      </c>
      <c r="D51" s="34">
        <f t="shared" ref="D51:E51" si="8">D42</f>
        <v>1.874201101748775E-2</v>
      </c>
      <c r="E51" s="34">
        <f t="shared" si="8"/>
        <v>8.9264195520239176E-3</v>
      </c>
    </row>
    <row r="52" spans="1:5" x14ac:dyDescent="0.3">
      <c r="A52" s="18">
        <f>+A50+0.1</f>
        <v>5.5999999999999979</v>
      </c>
      <c r="B52" s="1" t="s">
        <v>136</v>
      </c>
      <c r="C52" s="40">
        <f>C51/C40</f>
        <v>1.1955978669745132E-4</v>
      </c>
      <c r="D52" s="40">
        <f t="shared" ref="D52:E52" si="9">D51/D40</f>
        <v>1.0357563424972507E-4</v>
      </c>
      <c r="E52" s="40">
        <f t="shared" si="9"/>
        <v>4.9330862404111181E-5</v>
      </c>
    </row>
    <row r="53" spans="1:5" x14ac:dyDescent="0.3">
      <c r="A53" s="18">
        <f t="shared" ref="A53" si="10">+A51+0.1</f>
        <v>0.1</v>
      </c>
      <c r="B53" s="1" t="s">
        <v>137</v>
      </c>
      <c r="C53" s="24">
        <f>('Financial Statements'!B22)/('Financial Statements'!B68)</f>
        <v>1.9695887275023682</v>
      </c>
      <c r="D53" s="24">
        <f>('Financial Statements'!C22)/('Financial Statements'!C68)</f>
        <v>1.5007132667617689</v>
      </c>
      <c r="E53" s="24">
        <f>('Financial Statements'!D22)/('Financial Statements'!D68)</f>
        <v>0.87866358530127486</v>
      </c>
    </row>
    <row r="54" spans="1:5" x14ac:dyDescent="0.3">
      <c r="A54" s="18">
        <v>5.7</v>
      </c>
      <c r="B54" s="1" t="s">
        <v>138</v>
      </c>
      <c r="C54" s="24">
        <f>C21/C43</f>
        <v>0.60087134570590572</v>
      </c>
      <c r="D54" s="24">
        <f t="shared" ref="D54:E54" si="11">D21/D43</f>
        <v>0.48309913489209433</v>
      </c>
      <c r="E54" s="24">
        <f t="shared" si="11"/>
        <v>0.30338312829525482</v>
      </c>
    </row>
    <row r="55" spans="1:5" x14ac:dyDescent="0.3">
      <c r="A55" s="18">
        <f>+A53+0.1</f>
        <v>0.2</v>
      </c>
      <c r="B55" s="1" t="s">
        <v>128</v>
      </c>
      <c r="C55" s="38">
        <f>C37</f>
        <v>0.28292440929256851</v>
      </c>
      <c r="D55" s="38">
        <f t="shared" ref="D55:E55" si="12">D37</f>
        <v>0.26974205275183616</v>
      </c>
      <c r="E55" s="38">
        <f t="shared" si="12"/>
        <v>0.1772557180259843</v>
      </c>
    </row>
    <row r="56" spans="1:5" x14ac:dyDescent="0.3">
      <c r="A56" s="18">
        <f>+A55+0.1</f>
        <v>0.30000000000000004</v>
      </c>
      <c r="B56" s="1" t="s">
        <v>139</v>
      </c>
      <c r="C56" s="24">
        <f>C57/C19</f>
        <v>6453.2055322659262</v>
      </c>
      <c r="D56" s="24">
        <f t="shared" ref="D56:E56" si="13">D57/D19</f>
        <v>6419.9184823480255</v>
      </c>
      <c r="E56" s="24">
        <f t="shared" si="13"/>
        <v>10627.212173644559</v>
      </c>
    </row>
    <row r="57" spans="1:5" x14ac:dyDescent="0.3">
      <c r="A57" s="18"/>
      <c r="B57" s="3" t="s">
        <v>140</v>
      </c>
      <c r="C57" s="27">
        <f>C44+('Financial Statements'!B55+'Financial Statements'!B59+'Financial Statements'!B114)-('Financial Statements'!B110)</f>
        <v>860502691.69999993</v>
      </c>
      <c r="D57" s="27">
        <f>D44+('Financial Statements'!C55+'Financial Statements'!C59+'Financial Statements'!C114)-('Financial Statements'!C110)</f>
        <v>860500193.69999993</v>
      </c>
      <c r="E57" s="27">
        <f>E44+('Financial Statements'!D55+'Financial Statements'!D59+'Financial Statements'!D114)-('Financial Statements'!D110)</f>
        <v>860485369.69999993</v>
      </c>
    </row>
    <row r="59" spans="1:5" ht="14.4" customHeight="1" x14ac:dyDescent="0.3">
      <c r="B59" s="46" t="s">
        <v>158</v>
      </c>
      <c r="C59" s="45"/>
      <c r="D59" s="45"/>
      <c r="E59" s="45"/>
    </row>
    <row r="60" spans="1:5" x14ac:dyDescent="0.3">
      <c r="B60" s="46" t="s">
        <v>159</v>
      </c>
      <c r="C60" s="45"/>
      <c r="D60" s="45"/>
      <c r="E60" s="45"/>
    </row>
    <row r="62" spans="1:5" x14ac:dyDescent="0.3">
      <c r="B62" s="28" t="s">
        <v>160</v>
      </c>
      <c r="C62" s="28" t="s">
        <v>168</v>
      </c>
      <c r="D62" s="28" t="s">
        <v>169</v>
      </c>
      <c r="E62" s="28" t="s">
        <v>170</v>
      </c>
    </row>
    <row r="63" spans="1:5" x14ac:dyDescent="0.3">
      <c r="B63" t="s">
        <v>161</v>
      </c>
      <c r="C63">
        <f>'Financial Statements'!B6</f>
        <v>316199</v>
      </c>
      <c r="D63">
        <f>'Financial Statements'!D6</f>
        <v>220747</v>
      </c>
      <c r="E63" s="32">
        <f>(C63-D63)/D63</f>
        <v>0.43240451738868479</v>
      </c>
    </row>
    <row r="64" spans="1:5" x14ac:dyDescent="0.3">
      <c r="B64" t="s">
        <v>162</v>
      </c>
      <c r="C64">
        <f>'Financial Statements'!B7</f>
        <v>78129</v>
      </c>
      <c r="D64">
        <f>'Financial Statements'!D7</f>
        <v>53768</v>
      </c>
      <c r="E64" s="32">
        <f>(C64-D64)/D64</f>
        <v>0.45307617914000892</v>
      </c>
    </row>
    <row r="65" spans="2:5" x14ac:dyDescent="0.3">
      <c r="B65" t="s">
        <v>163</v>
      </c>
      <c r="C65">
        <f>'Financial Statements'!B8</f>
        <v>394328</v>
      </c>
      <c r="D65">
        <f>'Financial Statements'!D8</f>
        <v>274515</v>
      </c>
      <c r="E65" s="32">
        <f>(C65-D65)/D65</f>
        <v>0.43645338141813744</v>
      </c>
    </row>
    <row r="66" spans="2:5" x14ac:dyDescent="0.3">
      <c r="B66" t="s">
        <v>164</v>
      </c>
      <c r="C66">
        <f>'Financial Statements'!B13</f>
        <v>170782</v>
      </c>
      <c r="D66">
        <f>'Financial Statements'!D13</f>
        <v>104956</v>
      </c>
      <c r="E66" s="32">
        <f>(C66-D66)/D66</f>
        <v>0.62717710278592931</v>
      </c>
    </row>
    <row r="67" spans="2:5" x14ac:dyDescent="0.3">
      <c r="B67" t="s">
        <v>165</v>
      </c>
    </row>
    <row r="68" spans="2:5" x14ac:dyDescent="0.3">
      <c r="B68" t="s">
        <v>166</v>
      </c>
      <c r="C68">
        <f>'Financial Statements'!B15</f>
        <v>26251</v>
      </c>
      <c r="D68">
        <f>'Financial Statements'!D15</f>
        <v>18752</v>
      </c>
      <c r="E68" s="32">
        <f>(C68-D68)/D68</f>
        <v>0.39990401023890787</v>
      </c>
    </row>
    <row r="69" spans="2:5" x14ac:dyDescent="0.3">
      <c r="B69" t="s">
        <v>167</v>
      </c>
      <c r="C69">
        <f>'Financial Statements'!B16</f>
        <v>25094</v>
      </c>
      <c r="D69">
        <f>'Financial Statements'!D16</f>
        <v>19916</v>
      </c>
      <c r="E69" s="32">
        <f>(C69-D69)/D69</f>
        <v>0.2599919662582848</v>
      </c>
    </row>
    <row r="70" spans="2:5" x14ac:dyDescent="0.3">
      <c r="B70" t="s">
        <v>171</v>
      </c>
    </row>
    <row r="71" spans="2:5" x14ac:dyDescent="0.3">
      <c r="B71" t="s">
        <v>172</v>
      </c>
      <c r="C71">
        <f>'Financial Statements'!B48</f>
        <v>352755</v>
      </c>
      <c r="D71">
        <f>'Financial Statements'!D48</f>
        <v>323888</v>
      </c>
      <c r="E71" s="32">
        <f>(C71-D71)/D71</f>
        <v>8.9126488168749685E-2</v>
      </c>
    </row>
    <row r="72" spans="2:5" x14ac:dyDescent="0.3">
      <c r="B72" t="s">
        <v>173</v>
      </c>
      <c r="C72">
        <f>'Financial Statements'!B62</f>
        <v>302083</v>
      </c>
      <c r="D72">
        <f>'Financial Statements'!D62</f>
        <v>258549</v>
      </c>
      <c r="E72" s="32">
        <f>(C72-D72)/D72</f>
        <v>0.16837814108737609</v>
      </c>
    </row>
    <row r="73" spans="2:5" x14ac:dyDescent="0.3">
      <c r="B73" t="s">
        <v>174</v>
      </c>
      <c r="C73">
        <f>'Financial Statements'!B68</f>
        <v>50672</v>
      </c>
      <c r="D73">
        <f>'Financial Statements'!D68</f>
        <v>65339</v>
      </c>
      <c r="E73" s="32">
        <f>(C73-D73)/D73</f>
        <v>-0.2244754281516399</v>
      </c>
    </row>
    <row r="75" spans="2:5" x14ac:dyDescent="0.3">
      <c r="B75" s="48" t="s">
        <v>175</v>
      </c>
    </row>
    <row r="76" spans="2:5" x14ac:dyDescent="0.3">
      <c r="B76" s="48" t="s">
        <v>177</v>
      </c>
    </row>
    <row r="78" spans="2:5" x14ac:dyDescent="0.3">
      <c r="B78" s="28" t="s">
        <v>176</v>
      </c>
      <c r="C78" s="28" t="s">
        <v>163</v>
      </c>
      <c r="D78" s="28" t="s">
        <v>184</v>
      </c>
    </row>
    <row r="79" spans="2:5" x14ac:dyDescent="0.3">
      <c r="B79" s="49" t="s">
        <v>178</v>
      </c>
      <c r="C79">
        <f>C65</f>
        <v>394328</v>
      </c>
      <c r="D79" s="32">
        <f>'Financial Statements'!B12/C79</f>
        <v>0.56690369438639909</v>
      </c>
    </row>
    <row r="80" spans="2:5" x14ac:dyDescent="0.3">
      <c r="B80" s="49" t="s">
        <v>179</v>
      </c>
      <c r="C80">
        <f>C79</f>
        <v>394328</v>
      </c>
      <c r="D80" s="32">
        <f>'Financial Statements'!B13/C80</f>
        <v>0.43309630561360085</v>
      </c>
    </row>
    <row r="81" spans="2:6" x14ac:dyDescent="0.3">
      <c r="B81" t="s">
        <v>180</v>
      </c>
    </row>
    <row r="82" spans="2:6" x14ac:dyDescent="0.3">
      <c r="B82" t="s">
        <v>181</v>
      </c>
      <c r="C82">
        <f>C79</f>
        <v>394328</v>
      </c>
      <c r="D82" s="32">
        <f>C68/C82</f>
        <v>6.657148363798665E-2</v>
      </c>
    </row>
    <row r="83" spans="2:6" x14ac:dyDescent="0.3">
      <c r="B83" t="s">
        <v>182</v>
      </c>
      <c r="C83">
        <f>C82</f>
        <v>394328</v>
      </c>
      <c r="D83" s="32">
        <f>C69/C83</f>
        <v>6.3637378020328261E-2</v>
      </c>
    </row>
    <row r="84" spans="2:6" x14ac:dyDescent="0.3">
      <c r="B84" t="s">
        <v>14</v>
      </c>
      <c r="C84">
        <f>C83</f>
        <v>394328</v>
      </c>
      <c r="D84" s="32">
        <f>'Financial Statements'!B18/'List of Ratios'!C84</f>
        <v>0.30288744395528594</v>
      </c>
    </row>
    <row r="85" spans="2:6" x14ac:dyDescent="0.3">
      <c r="B85" t="s">
        <v>183</v>
      </c>
      <c r="C85">
        <f>C84</f>
        <v>394328</v>
      </c>
      <c r="D85" s="32">
        <f>'Financial Statements'!B22/C79</f>
        <v>0.25309640705199732</v>
      </c>
    </row>
    <row r="87" spans="2:6" x14ac:dyDescent="0.3">
      <c r="B87" s="47" t="s">
        <v>186</v>
      </c>
    </row>
    <row r="88" spans="2:6" x14ac:dyDescent="0.3">
      <c r="B88" s="48" t="s">
        <v>185</v>
      </c>
    </row>
    <row r="90" spans="2:6" x14ac:dyDescent="0.3">
      <c r="B90" s="28" t="s">
        <v>176</v>
      </c>
      <c r="D90" s="50" t="s">
        <v>142</v>
      </c>
      <c r="E90" s="50"/>
      <c r="F90" s="50"/>
    </row>
    <row r="91" spans="2:6" x14ac:dyDescent="0.3">
      <c r="D91" s="7">
        <v>2022</v>
      </c>
      <c r="E91" s="7">
        <v>2021</v>
      </c>
      <c r="F91" s="7">
        <v>2020</v>
      </c>
    </row>
    <row r="92" spans="2:6" x14ac:dyDescent="0.3">
      <c r="B92" s="7" t="s">
        <v>187</v>
      </c>
      <c r="D92" s="32">
        <f>'Financial Statements'!B21/'Financial Statements'!B20</f>
        <v>0.16204461684424407</v>
      </c>
      <c r="E92" s="32">
        <f>'Financial Statements'!C21/'Financial Statements'!C20</f>
        <v>0.13302260844085087</v>
      </c>
      <c r="F92" s="32">
        <f>'Financial Statements'!D21/'Financial Statements'!D20</f>
        <v>0.14428164731484103</v>
      </c>
    </row>
    <row r="93" spans="2:6" x14ac:dyDescent="0.3">
      <c r="B93" s="7" t="s">
        <v>188</v>
      </c>
      <c r="D93" s="32">
        <f>(('Financial Statements'!B45-'Financial Statements'!C45)+'Financial Statements'!B79)/'Financial Statements'!B8</f>
        <v>3.4948063541011543E-2</v>
      </c>
      <c r="E93" s="32">
        <f>(('Financial Statements'!C45-'Financial Statements'!D45)+'Financial Statements'!C79)/'Financial Statements'!C8</f>
        <v>3.8155689866791319E-2</v>
      </c>
      <c r="F93" s="32"/>
    </row>
    <row r="94" spans="2:6" x14ac:dyDescent="0.3">
      <c r="B94" s="7" t="s">
        <v>189</v>
      </c>
      <c r="D94" s="32">
        <f>(('Financial Statements'!B45-'Financial Statements'!C45)+'Financial Statements'!B79)/'Financial Statements'!B47</f>
        <v>6.3404646882907756E-2</v>
      </c>
      <c r="E94" s="32">
        <f>(('Financial Statements'!C45-'Financial Statements'!D45)+'Financial Statements'!C79)/'Financial Statements'!C47</f>
        <v>6.4570746555887598E-2</v>
      </c>
      <c r="F94" s="12"/>
    </row>
    <row r="95" spans="2:6" x14ac:dyDescent="0.3">
      <c r="D95" s="12"/>
      <c r="E95" s="12"/>
      <c r="F95" s="12"/>
    </row>
    <row r="96" spans="2:6" x14ac:dyDescent="0.3">
      <c r="D96" s="12"/>
      <c r="E96" s="12"/>
      <c r="F96" s="12"/>
    </row>
    <row r="97" spans="4:6" x14ac:dyDescent="0.3">
      <c r="D97" s="32"/>
      <c r="E97" s="12"/>
      <c r="F97" s="12"/>
    </row>
    <row r="98" spans="4:6" x14ac:dyDescent="0.3">
      <c r="D98" s="12"/>
      <c r="E98" s="12"/>
      <c r="F98" s="12"/>
    </row>
    <row r="99" spans="4:6" x14ac:dyDescent="0.3">
      <c r="E99" s="12"/>
    </row>
    <row r="100" spans="4:6" x14ac:dyDescent="0.3">
      <c r="D100" s="12"/>
      <c r="E100" s="13"/>
      <c r="F100" s="13"/>
    </row>
  </sheetData>
  <mergeCells count="2">
    <mergeCell ref="C2:E2"/>
    <mergeCell ref="D90:F90"/>
  </mergeCells>
  <conditionalFormatting sqref="B59:E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2020-05-18T16:32:37Z</dcterms:created>
  <dcterms:modified xsi:type="dcterms:W3CDTF">2023-06-05T09:37:21Z</dcterms:modified>
</cp:coreProperties>
</file>