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0C4708FE-6576-4774-AF86-D5F7ECB2A421}" xr6:coauthVersionLast="47" xr6:coauthVersionMax="47" xr10:uidLastSave="{00000000-0000-0000-0000-000000000000}"/>
  <bookViews>
    <workbookView xWindow="-120" yWindow="-120" windowWidth="20730" windowHeight="1116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4" l="1"/>
  <c r="D70" i="4"/>
  <c r="E70" i="4"/>
  <c r="F70" i="4"/>
  <c r="G70" i="4"/>
  <c r="H70" i="4"/>
  <c r="I70" i="4"/>
  <c r="J70" i="4"/>
  <c r="K70" i="4"/>
  <c r="L70" i="4"/>
  <c r="M70" i="4"/>
  <c r="N70" i="4"/>
  <c r="B70" i="4"/>
  <c r="K15" i="4" l="1"/>
  <c r="L15" i="4"/>
  <c r="M15" i="4"/>
  <c r="N15" i="4"/>
  <c r="J15" i="4"/>
  <c r="K57" i="4"/>
  <c r="L57" i="4"/>
  <c r="M57" i="4"/>
  <c r="N57" i="4"/>
  <c r="J57" i="4"/>
  <c r="B68" i="4"/>
  <c r="J205" i="3"/>
  <c r="K205" i="3"/>
  <c r="L205" i="3"/>
  <c r="M205" i="3"/>
  <c r="N205" i="3"/>
  <c r="K14" i="3"/>
  <c r="L14" i="3"/>
  <c r="M14" i="3"/>
  <c r="N14" i="3"/>
  <c r="J14" i="3"/>
  <c r="J39" i="4"/>
  <c r="K39" i="4" s="1"/>
  <c r="L39" i="4" s="1"/>
  <c r="M39" i="4" s="1"/>
  <c r="N39"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I19" i="4" l="1"/>
  <c r="J19" i="4" s="1"/>
  <c r="K19" i="4" s="1"/>
  <c r="L19" i="4" s="1"/>
  <c r="M19" i="4" s="1"/>
  <c r="N19" i="4" s="1"/>
  <c r="N85" i="3"/>
  <c r="N119" i="3" s="1"/>
  <c r="M119" i="3"/>
  <c r="N89" i="3"/>
  <c r="N115" i="3" s="1"/>
  <c r="M115" i="3"/>
  <c r="N25" i="3"/>
  <c r="C62" i="4"/>
  <c r="D62" i="4"/>
  <c r="E62" i="4"/>
  <c r="F62" i="4"/>
  <c r="G62" i="4"/>
  <c r="H62" i="4"/>
  <c r="I62" i="4"/>
  <c r="B62" i="4"/>
  <c r="C59" i="4"/>
  <c r="D59" i="4"/>
  <c r="E59" i="4"/>
  <c r="F59" i="4"/>
  <c r="G59" i="4"/>
  <c r="H59" i="4"/>
  <c r="I59" i="4"/>
  <c r="J59" i="4" s="1"/>
  <c r="B59" i="4"/>
  <c r="C57" i="4"/>
  <c r="D57" i="4"/>
  <c r="E57" i="4"/>
  <c r="F57" i="4"/>
  <c r="G57" i="4"/>
  <c r="H57" i="4"/>
  <c r="I57" i="4"/>
  <c r="B57" i="4"/>
  <c r="B80" i="4"/>
  <c r="K59" i="4" l="1"/>
  <c r="C25" i="4"/>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K33" i="4" l="1"/>
  <c r="J32" i="4"/>
  <c r="L59" i="4"/>
  <c r="M59" i="4" s="1"/>
  <c r="N59" i="4" s="1"/>
  <c r="E32" i="4"/>
  <c r="C32" i="4"/>
  <c r="I51" i="4"/>
  <c r="G32" i="4"/>
  <c r="H51" i="4"/>
  <c r="F51" i="4"/>
  <c r="D51" i="4"/>
  <c r="D32" i="4"/>
  <c r="C51" i="4"/>
  <c r="I32" i="4"/>
  <c r="H32" i="4"/>
  <c r="G51" i="4"/>
  <c r="F32" i="4"/>
  <c r="E51" i="4"/>
  <c r="B43" i="4"/>
  <c r="B32" i="4"/>
  <c r="I43" i="4"/>
  <c r="H43" i="4"/>
  <c r="G43" i="4"/>
  <c r="F43" i="4"/>
  <c r="E43" i="4"/>
  <c r="D43" i="4"/>
  <c r="C43" i="4"/>
  <c r="C60" i="4"/>
  <c r="J60" i="4" s="1"/>
  <c r="B64" i="4"/>
  <c r="I64" i="4"/>
  <c r="H64" i="4"/>
  <c r="G64" i="4"/>
  <c r="F64" i="4"/>
  <c r="E64" i="4"/>
  <c r="D64" i="4"/>
  <c r="C64" i="4"/>
  <c r="B25" i="4"/>
  <c r="C21" i="4"/>
  <c r="D21" i="4"/>
  <c r="E21" i="4"/>
  <c r="F21" i="4"/>
  <c r="G21" i="4"/>
  <c r="H21" i="4"/>
  <c r="I21" i="4"/>
  <c r="B21" i="4"/>
  <c r="C16" i="4"/>
  <c r="D16" i="4"/>
  <c r="E16" i="4"/>
  <c r="F16" i="4"/>
  <c r="G16" i="4"/>
  <c r="H16" i="4"/>
  <c r="B16" i="4"/>
  <c r="L33" i="4" l="1"/>
  <c r="K32" i="4"/>
  <c r="K60" i="4"/>
  <c r="B31" i="4"/>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M33" i="4" l="1"/>
  <c r="L32" i="4"/>
  <c r="L60" i="4"/>
  <c r="M60" i="4" s="1"/>
  <c r="B17" i="4"/>
  <c r="H19" i="4"/>
  <c r="I18" i="4"/>
  <c r="F17" i="4"/>
  <c r="E17" i="4"/>
  <c r="D17" i="4"/>
  <c r="C17" i="4"/>
  <c r="C18" i="4" s="1"/>
  <c r="H18" i="4"/>
  <c r="B18" i="4"/>
  <c r="H1" i="4"/>
  <c r="G1" i="4" s="1"/>
  <c r="F1" i="4" s="1"/>
  <c r="E1" i="4" s="1"/>
  <c r="D1" i="4" s="1"/>
  <c r="C1" i="4" s="1"/>
  <c r="B1" i="4" s="1"/>
  <c r="N33" i="4" l="1"/>
  <c r="N32" i="4" s="1"/>
  <c r="M32" i="4"/>
  <c r="N60" i="4"/>
  <c r="D18" i="4"/>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J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C66" i="4"/>
  <c r="D66" i="4"/>
  <c r="E66" i="4"/>
  <c r="F66" i="4"/>
  <c r="G66" i="4"/>
  <c r="I66" i="4"/>
  <c r="H66" i="4"/>
  <c r="C67" i="4" l="1"/>
  <c r="C68" i="4" s="1"/>
  <c r="B69" i="4"/>
  <c r="C69" i="4" l="1"/>
  <c r="D67" i="4"/>
  <c r="D68" i="4" s="1"/>
  <c r="D69" i="4" s="1"/>
  <c r="E67" i="4"/>
  <c r="E68" i="4" s="1"/>
  <c r="E69" i="4" s="1"/>
  <c r="F67" i="4" l="1"/>
  <c r="F68" i="4" s="1"/>
  <c r="F69" i="4" s="1"/>
  <c r="G67" i="4" l="1"/>
  <c r="G68" i="4" s="1"/>
  <c r="G69" i="4" s="1"/>
  <c r="H67" i="4" l="1"/>
  <c r="H68" i="4" s="1"/>
  <c r="H69" i="4" s="1"/>
  <c r="I67" i="4" l="1"/>
  <c r="I68" i="4" s="1"/>
  <c r="I69" i="4" s="1"/>
  <c r="J67" i="4" l="1"/>
  <c r="J37" i="3"/>
  <c r="J41" i="3"/>
  <c r="J42" i="3" s="1"/>
  <c r="J50" i="4" l="1"/>
  <c r="J10" i="4" s="1"/>
  <c r="N37" i="3"/>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13" i="3"/>
  <c r="J12" i="4" l="1"/>
  <c r="K7" i="3"/>
  <c r="K6" i="3"/>
  <c r="L7" i="3"/>
  <c r="L6" i="3"/>
  <c r="M7" i="3"/>
  <c r="M6" i="3"/>
  <c r="N7" i="3"/>
  <c r="N6" i="3"/>
  <c r="K11" i="3"/>
  <c r="K46" i="4"/>
  <c r="L11" i="3"/>
  <c r="L46" i="4"/>
  <c r="M11" i="3"/>
  <c r="M46" i="4"/>
  <c r="N11" i="3"/>
  <c r="N46" i="4"/>
  <c r="N5" i="4"/>
  <c r="N9" i="4" s="1"/>
  <c r="M5" i="4"/>
  <c r="M9" i="4" s="1"/>
  <c r="L5" i="4"/>
  <c r="L9" i="4" s="1"/>
  <c r="K5" i="4"/>
  <c r="K9" i="4" s="1"/>
  <c r="K7" i="4"/>
  <c r="K8" i="4" s="1"/>
  <c r="J14" i="4" l="1"/>
  <c r="J48" i="4"/>
  <c r="J49" i="4" s="1"/>
  <c r="L7" i="4"/>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L51" i="4" l="1"/>
  <c r="M51" i="4" l="1"/>
  <c r="N51" i="4" l="1"/>
  <c r="N207" i="3" l="1"/>
  <c r="K207" i="3"/>
  <c r="L207" i="3"/>
  <c r="M207" i="3"/>
  <c r="J207" i="3"/>
  <c r="M16" i="3"/>
  <c r="L16" i="3"/>
  <c r="K16" i="3"/>
  <c r="J15" i="3"/>
  <c r="J52" i="4" l="1"/>
  <c r="J26" i="4" s="1"/>
  <c r="J16" i="3"/>
  <c r="K52" i="4"/>
  <c r="K15" i="3"/>
  <c r="L52" i="4"/>
  <c r="L15" i="3"/>
  <c r="M52" i="4"/>
  <c r="N15" i="3"/>
  <c r="M15" i="3"/>
  <c r="N52" i="4"/>
  <c r="N16" i="3"/>
  <c r="K26" i="4" l="1"/>
  <c r="L26" i="4" s="1"/>
  <c r="M26" i="4" s="1"/>
  <c r="N26" i="4" s="1"/>
  <c r="N58" i="4"/>
  <c r="M58" i="4"/>
  <c r="L58" i="4"/>
  <c r="K58" i="4"/>
  <c r="J58" i="4"/>
  <c r="J53" i="4"/>
  <c r="J17" i="4" l="1"/>
  <c r="J61" i="4" l="1"/>
  <c r="J18" i="4"/>
  <c r="J64" i="4" l="1"/>
  <c r="J41" i="4"/>
  <c r="J43" i="4"/>
  <c r="J66" i="4"/>
  <c r="J68" i="4" s="1"/>
  <c r="K67" i="4" l="1"/>
  <c r="J21" i="4"/>
  <c r="K50" i="4" l="1"/>
  <c r="K10" i="4" s="1"/>
  <c r="K11" i="4" s="1"/>
  <c r="K12" i="4" s="1"/>
  <c r="K48" i="4" s="1"/>
  <c r="K49" i="4" s="1"/>
  <c r="J69" i="4"/>
  <c r="J31" i="4"/>
  <c r="J44" i="4" s="1"/>
  <c r="K55" i="4"/>
  <c r="K14" i="4"/>
  <c r="K53" i="4" l="1"/>
  <c r="K16" i="4"/>
  <c r="K17" i="4" s="1"/>
  <c r="K61" i="4" l="1"/>
  <c r="K64" i="4" s="1"/>
  <c r="K18" i="4"/>
  <c r="K41" i="4" l="1"/>
  <c r="K66" i="4"/>
  <c r="K68" i="4" s="1"/>
  <c r="L67" i="4" l="1"/>
  <c r="K21" i="4"/>
  <c r="K43" i="4"/>
  <c r="L50" i="4" l="1"/>
  <c r="L10" i="4" s="1"/>
  <c r="L11" i="4" s="1"/>
  <c r="K69" i="4"/>
  <c r="K31" i="4"/>
  <c r="K44" i="4" s="1"/>
  <c r="L12" i="4" l="1"/>
  <c r="L48" i="4" s="1"/>
  <c r="L49" i="4" s="1"/>
  <c r="L14" i="4"/>
  <c r="L16" i="4" s="1"/>
  <c r="L17" i="4" s="1"/>
  <c r="L61" i="4" l="1"/>
  <c r="L18" i="4"/>
  <c r="L55" i="4"/>
  <c r="L53" i="4"/>
  <c r="L64" i="4" l="1"/>
  <c r="L41" i="4"/>
  <c r="L43" i="4" s="1"/>
  <c r="L66" i="4" l="1"/>
  <c r="L68" i="4" s="1"/>
  <c r="M67" i="4"/>
  <c r="L21" i="4"/>
  <c r="L69" i="4" l="1"/>
  <c r="L31" i="4"/>
  <c r="L44" i="4" s="1"/>
  <c r="M50" i="4"/>
  <c r="M10" i="4" s="1"/>
  <c r="M11" i="4" s="1"/>
  <c r="M12" i="4" l="1"/>
  <c r="M48" i="4" s="1"/>
  <c r="M49" i="4" s="1"/>
  <c r="M14" i="4"/>
  <c r="M16" i="4" s="1"/>
  <c r="M17" i="4" s="1"/>
  <c r="M61" i="4" l="1"/>
  <c r="M18" i="4"/>
  <c r="M55" i="4"/>
  <c r="M53" i="4"/>
  <c r="M64" i="4" l="1"/>
  <c r="M41" i="4"/>
  <c r="M43" i="4" s="1"/>
  <c r="M66" i="4" l="1"/>
  <c r="M68" i="4" s="1"/>
  <c r="N67" i="4"/>
  <c r="M21" i="4"/>
  <c r="M69" i="4" l="1"/>
  <c r="M31" i="4"/>
  <c r="M44" i="4" s="1"/>
  <c r="N50" i="4"/>
  <c r="N10" i="4" s="1"/>
  <c r="N11" i="4" s="1"/>
  <c r="N12" i="4" l="1"/>
  <c r="N48" i="4" s="1"/>
  <c r="N49" i="4" s="1"/>
  <c r="N14" i="4"/>
  <c r="N16" i="4" s="1"/>
  <c r="N17" i="4" s="1"/>
  <c r="N18" i="4" l="1"/>
  <c r="N61" i="4"/>
  <c r="N55" i="4"/>
  <c r="N53" i="4"/>
  <c r="N64" i="4" l="1"/>
  <c r="N41" i="4"/>
  <c r="N43" i="4" s="1"/>
  <c r="N66" i="4" l="1"/>
  <c r="N68" i="4" s="1"/>
  <c r="N21" i="4" l="1"/>
  <c r="N69" i="4" l="1"/>
  <c r="N31"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<sst xmlns="http://schemas.openxmlformats.org/spreadsheetml/2006/main" count="541" uniqueCount="212">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</sst>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1"/>
      <color theme="1"/>
      <name val="Calibri"/>
      <family val="2"/>
    </font>
    <font>
      <b/>
      <sz val="11"/>
      <name val="Calibri"/>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7" fontId="23" fillId="0" borderId="0" xfId="2" applyNumberFormat="1" applyFont="1" applyAlignment="1">
      <alignment horizontal="right"/>
    </xf>
    <xf numFmtId="41" fontId="29" fillId="0" borderId="4" xfId="1" applyNumberFormat="1" applyFont="1" applyFill="1" applyBorder="1"/>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166" fontId="22" fillId="0" borderId="0" xfId="2" applyNumberFormat="1" applyFont="1"/>
    <xf numFmtId="166" fontId="0" fillId="0" borderId="0" xfId="0" applyNumberFormat="1"/>
    <xf numFmtId="9" fontId="0" fillId="0" borderId="0" xfId="2" applyFont="1"/>
    <xf numFmtId="41" fontId="15" fillId="0" borderId="0" xfId="0" applyNumberFormat="1" applyFont="1"/>
    <xf numFmtId="165" fontId="33" fillId="0" borderId="0" xfId="1" applyNumberFormat="1" applyFont="1" applyFill="1" applyBorder="1"/>
    <xf numFmtId="43" fontId="40"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3" fontId="15" fillId="10" borderId="0" xfId="0" applyNumberFormat="1" applyFont="1" applyFill="1"/>
    <xf numFmtId="0" fontId="21" fillId="0" borderId="0" xfId="0" applyFont="1"/>
    <xf numFmtId="165" fontId="41" fillId="0" borderId="0" xfId="0" applyNumberFormat="1" applyFont="1"/>
    <xf numFmtId="0" fontId="41" fillId="0" borderId="0" xfId="0" applyFont="1"/>
    <xf numFmtId="0" fontId="42" fillId="0" borderId="0" xfId="0" applyFont="1"/>
    <xf numFmtId="0" fontId="43" fillId="0" borderId="0" xfId="0" applyFont="1"/>
    <xf numFmtId="0" fontId="43" fillId="0" borderId="0" xfId="0" applyFont="1" applyAlignment="1">
      <alignment horizontal="left" indent="1"/>
    </xf>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workbookViewId="0">
      <selection activeCell="A8" sqref="A8"/>
    </sheetView>
  </sheetViews>
  <sheetFormatPr defaultRowHeight="15" x14ac:dyDescent="0.25"/>
  <cols>
    <col min="1" max="1" width="176.140625" style="19" customWidth="1"/>
  </cols>
  <sheetData>
    <row r="1" spans="1:1" ht="23.25" x14ac:dyDescent="0.35">
      <c r="A1" s="18" t="s">
        <v>20</v>
      </c>
    </row>
    <row r="2" spans="1:1" ht="20.25" x14ac:dyDescent="0.3">
      <c r="A2" s="133"/>
    </row>
    <row r="3" spans="1:1" ht="18.75" x14ac:dyDescent="0.3">
      <c r="A3" s="147" t="s">
        <v>202</v>
      </c>
    </row>
    <row r="4" spans="1:1" ht="18.75" x14ac:dyDescent="0.3">
      <c r="A4" s="148" t="s">
        <v>203</v>
      </c>
    </row>
    <row r="5" spans="1:1" ht="18.75" x14ac:dyDescent="0.3">
      <c r="A5" s="148" t="s">
        <v>204</v>
      </c>
    </row>
    <row r="6" spans="1:1" ht="18.75" x14ac:dyDescent="0.3">
      <c r="A6" s="148" t="s">
        <v>205</v>
      </c>
    </row>
    <row r="7" spans="1:1" ht="18.75" x14ac:dyDescent="0.3">
      <c r="A7" s="148" t="s">
        <v>206</v>
      </c>
    </row>
    <row r="8" spans="1:1" ht="18.75" x14ac:dyDescent="0.3">
      <c r="A8" s="148" t="s">
        <v>207</v>
      </c>
    </row>
    <row r="9" spans="1:1" ht="18.75" x14ac:dyDescent="0.3">
      <c r="A9" s="149" t="s">
        <v>208</v>
      </c>
    </row>
    <row r="10" spans="1:1" ht="18.75" x14ac:dyDescent="0.3">
      <c r="A10" s="148" t="s">
        <v>209</v>
      </c>
    </row>
    <row r="11" spans="1:1" ht="18.75" x14ac:dyDescent="0.3">
      <c r="A11" s="148"/>
    </row>
    <row r="12" spans="1:1" ht="18.75" x14ac:dyDescent="0.3">
      <c r="A12" s="148" t="s">
        <v>210</v>
      </c>
    </row>
    <row r="13" spans="1:1" ht="18.75" x14ac:dyDescent="0.3">
      <c r="A13" s="148" t="s">
        <v>199</v>
      </c>
    </row>
    <row r="14" spans="1:1" ht="20.25" x14ac:dyDescent="0.3">
      <c r="A14" s="133"/>
    </row>
    <row r="15" spans="1:1" ht="20.25" x14ac:dyDescent="0.3">
      <c r="A15" s="134"/>
    </row>
    <row r="16" spans="1:1" ht="20.25" x14ac:dyDescent="0.3">
      <c r="A16" s="133"/>
    </row>
    <row r="17" spans="1:1" ht="20.25" x14ac:dyDescent="0.3">
      <c r="A17" s="133"/>
    </row>
    <row r="18" spans="1:1" ht="20.25" x14ac:dyDescent="0.3">
      <c r="A18" s="133"/>
    </row>
    <row r="19" spans="1:1" ht="20.25" x14ac:dyDescent="0.3">
      <c r="A19" s="134"/>
    </row>
    <row r="20" spans="1:1" ht="20.25" x14ac:dyDescent="0.3">
      <c r="A20" s="133"/>
    </row>
    <row r="21" spans="1:1" ht="20.25" x14ac:dyDescent="0.3">
      <c r="A21" s="133"/>
    </row>
    <row r="22" spans="1:1" ht="20.25" x14ac:dyDescent="0.3">
      <c r="A22" s="133"/>
    </row>
    <row r="23" spans="1:1" ht="20.25" x14ac:dyDescent="0.3">
      <c r="A23" s="133"/>
    </row>
    <row r="24" spans="1:1" ht="20.25" x14ac:dyDescent="0.3">
      <c r="A24"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200</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1"/>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1"/>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2">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2">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2">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0"/>
  <sheetViews>
    <sheetView tabSelected="1" topLeftCell="A53" zoomScale="90" zoomScaleNormal="90" workbookViewId="0">
      <selection activeCell="F72" sqref="F72"/>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1.7109375" bestFit="1" customWidth="1"/>
    <col min="15" max="15" width="10.855468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9"/>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283.5472634993709</v>
      </c>
      <c r="L10" s="126">
        <f t="shared" si="7"/>
        <v>330.78624100554828</v>
      </c>
      <c r="M10" s="126">
        <f t="shared" si="7"/>
        <v>419.24666803313789</v>
      </c>
      <c r="N10" s="126">
        <f t="shared" si="7"/>
        <v>552.62226264140008</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8883.0109904607179</v>
      </c>
      <c r="L11" s="100">
        <f t="shared" si="8"/>
        <v>10909.539043208466</v>
      </c>
      <c r="M11" s="100">
        <f t="shared" si="8"/>
        <v>13552.79743361556</v>
      </c>
      <c r="N11" s="100">
        <f t="shared" si="8"/>
        <v>15961.018684143286</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977.7188686764049</v>
      </c>
      <c r="L12" s="126">
        <f t="shared" si="9"/>
        <v>1320.8481224235206</v>
      </c>
      <c r="M12" s="126">
        <f t="shared" si="9"/>
        <v>1804.9622142755543</v>
      </c>
      <c r="N12" s="126">
        <f t="shared" si="9"/>
        <v>2338.2581599165192</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I13*(1+$O$13)</f>
        <v>0.10006014133213051</v>
      </c>
      <c r="K13" s="84">
        <f t="shared" ref="K13:N13" si="11">J13*(1+$O$13)</f>
        <v>0.11006615546534357</v>
      </c>
      <c r="L13" s="84">
        <f t="shared" si="11"/>
        <v>0.12107277101187794</v>
      </c>
      <c r="M13" s="84">
        <f t="shared" si="11"/>
        <v>0.13318004811306575</v>
      </c>
      <c r="N13" s="84">
        <f t="shared" si="11"/>
        <v>0.14649805292437235</v>
      </c>
      <c r="O13" s="132">
        <v>0.1</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7905.2921217843132</v>
      </c>
      <c r="L14" s="106">
        <f t="shared" si="12"/>
        <v>9588.6909207849458</v>
      </c>
      <c r="M14" s="106">
        <f t="shared" si="12"/>
        <v>11747.835219340006</v>
      </c>
      <c r="N14" s="106">
        <f t="shared" si="12"/>
        <v>13622.760524226767</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41">
        <f>I15-(J59/$B$73)</f>
        <v>1636.2052300228086</v>
      </c>
      <c r="K15" s="141">
        <f t="shared" ref="K15:N15" si="13">J15-(K59/$B$73)</f>
        <v>1661.6104600456172</v>
      </c>
      <c r="L15" s="141">
        <f t="shared" si="13"/>
        <v>1687.0156900684258</v>
      </c>
      <c r="M15" s="141">
        <f t="shared" si="13"/>
        <v>1712.4209200912344</v>
      </c>
      <c r="N15" s="141">
        <f t="shared" si="13"/>
        <v>1737.826150114043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42">
        <f>J14/J15</f>
        <v>3.7799733656141004</v>
      </c>
      <c r="K16" s="142">
        <f t="shared" ref="K16:N16" si="14">K14/K15</f>
        <v>4.7576085441634044</v>
      </c>
      <c r="L16" s="142">
        <f t="shared" si="14"/>
        <v>5.6838184595639571</v>
      </c>
      <c r="M16" s="142">
        <f t="shared" si="14"/>
        <v>6.8603665614608964</v>
      </c>
      <c r="N16" s="142">
        <f t="shared" si="14"/>
        <v>7.8389662414349033</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40">
        <f>J16*J19</f>
        <v>1.1552901461793339</v>
      </c>
      <c r="K17" s="140">
        <f t="shared" ref="K17:N17" si="15">K16*K19</f>
        <v>1.4613595989995605</v>
      </c>
      <c r="L17" s="140">
        <f t="shared" si="15"/>
        <v>1.7545859649213393</v>
      </c>
      <c r="M17" s="140">
        <f t="shared" si="15"/>
        <v>2.1283734664350615</v>
      </c>
      <c r="N17" s="140">
        <f t="shared" si="15"/>
        <v>2.4441360153417739</v>
      </c>
      <c r="O17" s="132"/>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1.3032861984578731E-2</v>
      </c>
      <c r="K18" s="60">
        <f t="shared" ref="K18" si="18">IFERROR((K17-J17)/J17,"nm")</f>
        <v>0.26492864483647721</v>
      </c>
      <c r="L18" s="60">
        <f t="shared" ref="L18" si="19">IFERROR((L17-K17)/K17,"nm")</f>
        <v>0.20065312201221394</v>
      </c>
      <c r="M18" s="60">
        <f t="shared" ref="M18" si="20">IFERROR((M17-L17)/L17,"nm")</f>
        <v>0.21303458991847096</v>
      </c>
      <c r="N18" s="60">
        <f t="shared" ref="N18" si="21">IFERROR((N17-M17)/M17,"nm")</f>
        <v>0.14835861933366504</v>
      </c>
      <c r="O18" s="132">
        <v>0.02</v>
      </c>
    </row>
    <row r="19" spans="1:15" x14ac:dyDescent="0.25">
      <c r="A19" s="104" t="s">
        <v>155</v>
      </c>
      <c r="B19" s="96">
        <f>B17/B16</f>
        <v>0.2747319911499016</v>
      </c>
      <c r="C19" s="96">
        <f t="shared" ref="C19:I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60">
        <f>I19*(1+$O$19)</f>
        <v>0.30563446734541838</v>
      </c>
      <c r="K19" s="60">
        <f t="shared" ref="K19:N19" si="23">J19*(1+$O$19)</f>
        <v>0.30716263968214547</v>
      </c>
      <c r="L19" s="60">
        <f t="shared" si="23"/>
        <v>0.30869845288055614</v>
      </c>
      <c r="M19" s="60">
        <f t="shared" si="23"/>
        <v>0.3102419451449589</v>
      </c>
      <c r="N19" s="60">
        <f t="shared" si="23"/>
        <v>0.31179315487068365</v>
      </c>
      <c r="O19" s="136">
        <v>5.0000000000000001E-3</v>
      </c>
    </row>
    <row r="20" spans="1:15" x14ac:dyDescent="0.25">
      <c r="A20" s="108" t="s">
        <v>156</v>
      </c>
      <c r="B20" s="92"/>
      <c r="C20" s="92"/>
      <c r="D20" s="92"/>
      <c r="E20" s="92"/>
      <c r="F20" s="92"/>
      <c r="G20" s="92"/>
      <c r="H20" s="92"/>
      <c r="I20" s="92"/>
      <c r="J20" s="128"/>
      <c r="K20" s="128"/>
      <c r="L20" s="128"/>
      <c r="M20" s="128"/>
      <c r="N20" s="128"/>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143">
        <f>+J68</f>
        <v>9777.4918448058925</v>
      </c>
      <c r="K21" s="143">
        <f t="shared" ref="K21:N21" si="24">+K68</f>
        <v>11406.422103639596</v>
      </c>
      <c r="L21" s="143">
        <f t="shared" si="24"/>
        <v>14456.781656315099</v>
      </c>
      <c r="M21" s="143">
        <f t="shared" si="24"/>
        <v>19055.940091082761</v>
      </c>
      <c r="N21" s="143">
        <f t="shared" si="24"/>
        <v>24759.438766454292</v>
      </c>
      <c r="O21" s="132">
        <v>0.02</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50">
        <f>I22</f>
        <v>4423</v>
      </c>
      <c r="K22" s="50">
        <f t="shared" ref="K22:N22" si="25">J22</f>
        <v>4423</v>
      </c>
      <c r="L22" s="50">
        <f t="shared" si="25"/>
        <v>4423</v>
      </c>
      <c r="M22" s="50">
        <f t="shared" si="25"/>
        <v>4423</v>
      </c>
      <c r="N22" s="50">
        <f t="shared" si="25"/>
        <v>4423</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6">K24*K3</f>
        <v>10944.724944019352</v>
      </c>
      <c r="L23" s="50">
        <f t="shared" si="26"/>
        <v>11644.065141326826</v>
      </c>
      <c r="M23" s="50">
        <f t="shared" si="26"/>
        <v>12262.203404709862</v>
      </c>
      <c r="N23" s="50">
        <f t="shared" si="26"/>
        <v>13039.768490830031</v>
      </c>
    </row>
    <row r="24" spans="1:15" x14ac:dyDescent="0.25">
      <c r="A24" s="104" t="s">
        <v>160</v>
      </c>
      <c r="B24" s="96">
        <f>B23/B3</f>
        <v>0.18182412339466031</v>
      </c>
      <c r="C24" s="96">
        <f t="shared" ref="C24:I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82">
        <f>AVERAGE(B24:I24)*(1+$O$24)</f>
        <v>0.19527043079167658</v>
      </c>
      <c r="K24" s="82">
        <f t="shared" ref="K24:N24" si="28">AVERAGE(C24:J24)*(1+$O$24)</f>
        <v>0.19698483498479616</v>
      </c>
      <c r="L24" s="82">
        <f t="shared" si="28"/>
        <v>0.19891285511474238</v>
      </c>
      <c r="M24" s="82">
        <f t="shared" si="28"/>
        <v>0.19946463715497245</v>
      </c>
      <c r="N24" s="82">
        <f t="shared" si="28"/>
        <v>0.20219670534225478</v>
      </c>
      <c r="O24" s="132">
        <v>0.02</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50">
        <f>I25</f>
        <v>2129</v>
      </c>
      <c r="K25" s="50">
        <f t="shared" ref="K25:N25" si="29">J25</f>
        <v>2129</v>
      </c>
      <c r="L25" s="50">
        <f t="shared" si="29"/>
        <v>2129</v>
      </c>
      <c r="M25" s="50">
        <f t="shared" si="29"/>
        <v>2129</v>
      </c>
      <c r="N25" s="50">
        <f t="shared" si="29"/>
        <v>2129</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I26-J52-J47</f>
        <v>4781.3546985845642</v>
      </c>
      <c r="K26" s="50">
        <f t="shared" ref="K26:N26" si="30">J26-K52-K47</f>
        <v>4788.4550893318956</v>
      </c>
      <c r="L26" s="50">
        <f t="shared" si="30"/>
        <v>4804.4322077377137</v>
      </c>
      <c r="M26" s="50">
        <f t="shared" si="30"/>
        <v>4827.2994792365234</v>
      </c>
      <c r="N26" s="50">
        <f t="shared" si="30"/>
        <v>4858.5127600751202</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50">
        <f t="shared" ref="J27:N30" si="31">I27</f>
        <v>286</v>
      </c>
      <c r="K27" s="50">
        <f t="shared" si="31"/>
        <v>286</v>
      </c>
      <c r="L27" s="50">
        <f t="shared" si="31"/>
        <v>286</v>
      </c>
      <c r="M27" s="50">
        <f t="shared" si="31"/>
        <v>286</v>
      </c>
      <c r="N27" s="50">
        <f t="shared" si="31"/>
        <v>286</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50">
        <f t="shared" si="31"/>
        <v>284</v>
      </c>
      <c r="K28" s="50">
        <f t="shared" si="31"/>
        <v>284</v>
      </c>
      <c r="L28" s="50">
        <f t="shared" si="31"/>
        <v>284</v>
      </c>
      <c r="M28" s="50">
        <f t="shared" si="31"/>
        <v>284</v>
      </c>
      <c r="N28" s="50">
        <f t="shared" si="31"/>
        <v>284</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50">
        <f t="shared" si="31"/>
        <v>2926</v>
      </c>
      <c r="K29" s="50">
        <f t="shared" si="31"/>
        <v>2926</v>
      </c>
      <c r="L29" s="50">
        <f t="shared" si="31"/>
        <v>2926</v>
      </c>
      <c r="M29" s="50">
        <f t="shared" si="31"/>
        <v>2926</v>
      </c>
      <c r="N29" s="50">
        <f t="shared" si="31"/>
        <v>2926</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50">
        <f t="shared" si="31"/>
        <v>3821</v>
      </c>
      <c r="K30" s="50">
        <f t="shared" si="31"/>
        <v>3821</v>
      </c>
      <c r="L30" s="50">
        <f t="shared" si="31"/>
        <v>3821</v>
      </c>
      <c r="M30" s="50">
        <f t="shared" si="31"/>
        <v>3821</v>
      </c>
      <c r="N30" s="50">
        <f t="shared" si="31"/>
        <v>3821</v>
      </c>
    </row>
    <row r="31" spans="1:15" ht="15.75" thickBot="1" x14ac:dyDescent="0.3">
      <c r="A31" s="105" t="s">
        <v>165</v>
      </c>
      <c r="B31" s="106">
        <f>+B21+B22+B23+B25+B26+B27+B28+B29+B30</f>
        <v>19466</v>
      </c>
      <c r="C31" s="106">
        <f t="shared" ref="C31:N31" si="32">+C21+C22+C23+C25+C26+C27+C28+C29+C30</f>
        <v>19205</v>
      </c>
      <c r="D31" s="106">
        <f t="shared" si="32"/>
        <v>21211</v>
      </c>
      <c r="E31" s="106">
        <f t="shared" si="32"/>
        <v>20257</v>
      </c>
      <c r="F31" s="106">
        <f t="shared" si="32"/>
        <v>21105</v>
      </c>
      <c r="G31" s="106">
        <f t="shared" si="32"/>
        <v>29094</v>
      </c>
      <c r="H31" s="106">
        <f t="shared" si="32"/>
        <v>34904</v>
      </c>
      <c r="I31" s="106">
        <f t="shared" si="32"/>
        <v>36963</v>
      </c>
      <c r="J31" s="106">
        <f t="shared" si="32"/>
        <v>38394.520410792262</v>
      </c>
      <c r="K31" s="106">
        <f t="shared" si="32"/>
        <v>41008.602136990841</v>
      </c>
      <c r="L31" s="106">
        <f t="shared" si="32"/>
        <v>44774.279005379642</v>
      </c>
      <c r="M31" s="106">
        <f t="shared" si="32"/>
        <v>50014.442975029146</v>
      </c>
      <c r="N31" s="106">
        <f t="shared" si="32"/>
        <v>56526.720017359447</v>
      </c>
    </row>
    <row r="32" spans="1:15" ht="15.75" thickTop="1" x14ac:dyDescent="0.25">
      <c r="A32" s="103" t="s">
        <v>166</v>
      </c>
      <c r="B32" s="102">
        <f>B33+B34</f>
        <v>181</v>
      </c>
      <c r="C32" s="102">
        <f t="shared" ref="C32:I32" si="33">C33+C34</f>
        <v>45</v>
      </c>
      <c r="D32" s="102">
        <f t="shared" si="33"/>
        <v>331</v>
      </c>
      <c r="E32" s="102">
        <f t="shared" si="33"/>
        <v>342</v>
      </c>
      <c r="F32" s="102">
        <f t="shared" si="33"/>
        <v>15</v>
      </c>
      <c r="G32" s="102">
        <f t="shared" si="33"/>
        <v>251</v>
      </c>
      <c r="H32" s="102">
        <f t="shared" si="33"/>
        <v>2</v>
      </c>
      <c r="I32" s="102">
        <f t="shared" si="33"/>
        <v>510</v>
      </c>
      <c r="J32" s="50">
        <f>SUM(J33:J34)</f>
        <v>510</v>
      </c>
      <c r="K32" s="50">
        <f t="shared" ref="K32:N32" si="34">SUM(K33:K34)</f>
        <v>510</v>
      </c>
      <c r="L32" s="50">
        <f t="shared" si="34"/>
        <v>510</v>
      </c>
      <c r="M32" s="50">
        <f t="shared" si="34"/>
        <v>510</v>
      </c>
      <c r="N32" s="50">
        <f t="shared" si="34"/>
        <v>510</v>
      </c>
      <c r="O32" s="136">
        <v>5.5E-2</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5">J33</f>
        <v>500</v>
      </c>
      <c r="L33" s="50">
        <f t="shared" si="35"/>
        <v>500</v>
      </c>
      <c r="M33" s="50">
        <f t="shared" si="35"/>
        <v>500</v>
      </c>
      <c r="N33" s="50">
        <f t="shared" si="35"/>
        <v>500</v>
      </c>
      <c r="O33" s="137">
        <v>-0.25</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50">
        <f>I34</f>
        <v>10</v>
      </c>
      <c r="K34" s="50">
        <f t="shared" ref="K34:N34" si="36">J34</f>
        <v>10</v>
      </c>
      <c r="L34" s="50">
        <f t="shared" si="36"/>
        <v>10</v>
      </c>
      <c r="M34" s="50">
        <f t="shared" si="36"/>
        <v>10</v>
      </c>
      <c r="N34" s="50">
        <f t="shared" si="36"/>
        <v>10</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50">
        <f>I35</f>
        <v>6862</v>
      </c>
      <c r="K35" s="50">
        <f t="shared" ref="K35:N35" si="37">J35</f>
        <v>6862</v>
      </c>
      <c r="L35" s="50">
        <f t="shared" si="37"/>
        <v>6862</v>
      </c>
      <c r="M35" s="50">
        <f t="shared" si="37"/>
        <v>6862</v>
      </c>
      <c r="N35" s="50">
        <f t="shared" si="37"/>
        <v>6862</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8920</v>
      </c>
      <c r="K36" s="50">
        <f t="shared" ref="K36:N36" si="38">J36-K62</f>
        <v>8920</v>
      </c>
      <c r="L36" s="50">
        <f t="shared" si="38"/>
        <v>8920</v>
      </c>
      <c r="M36" s="50">
        <f t="shared" si="38"/>
        <v>8920</v>
      </c>
      <c r="N36" s="50">
        <f t="shared" si="38"/>
        <v>8920</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50">
        <f>I37</f>
        <v>2777</v>
      </c>
      <c r="K37" s="50">
        <f t="shared" ref="K37:N37" si="39">J37</f>
        <v>2777</v>
      </c>
      <c r="L37" s="50">
        <f t="shared" si="39"/>
        <v>2777</v>
      </c>
      <c r="M37" s="50">
        <f t="shared" si="39"/>
        <v>2777</v>
      </c>
      <c r="N37" s="50">
        <f t="shared" si="39"/>
        <v>2777</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50">
        <f t="shared" ref="J38:N40" si="40">I38</f>
        <v>2613</v>
      </c>
      <c r="K38" s="50">
        <f t="shared" si="40"/>
        <v>2613</v>
      </c>
      <c r="L38" s="50">
        <f t="shared" si="40"/>
        <v>2613</v>
      </c>
      <c r="M38" s="50">
        <f t="shared" si="40"/>
        <v>2613</v>
      </c>
      <c r="N38" s="50">
        <f t="shared" si="40"/>
        <v>2613</v>
      </c>
    </row>
    <row r="39" spans="1:15" x14ac:dyDescent="0.25">
      <c r="A39" s="103" t="s">
        <v>169</v>
      </c>
      <c r="B39" s="102"/>
      <c r="C39" s="102"/>
      <c r="D39" s="102"/>
      <c r="E39" s="102"/>
      <c r="F39" s="102"/>
      <c r="G39" s="102"/>
      <c r="H39" s="102"/>
      <c r="I39" s="102"/>
      <c r="J39" s="50">
        <f t="shared" si="40"/>
        <v>0</v>
      </c>
      <c r="K39" s="50">
        <f t="shared" si="40"/>
        <v>0</v>
      </c>
      <c r="L39" s="50">
        <f t="shared" si="40"/>
        <v>0</v>
      </c>
      <c r="M39" s="50">
        <f t="shared" si="40"/>
        <v>0</v>
      </c>
      <c r="N39" s="50">
        <f t="shared" si="40"/>
        <v>0</v>
      </c>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50">
        <f t="shared" si="40"/>
        <v>3</v>
      </c>
      <c r="K40" s="50">
        <f t="shared" si="40"/>
        <v>3</v>
      </c>
      <c r="L40" s="50">
        <f t="shared" si="40"/>
        <v>3</v>
      </c>
      <c r="M40" s="50">
        <f t="shared" si="40"/>
        <v>3</v>
      </c>
      <c r="N40" s="50">
        <f t="shared" si="40"/>
        <v>3</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(I41+J14)+J61+J59</f>
        <v>4907.5204107922691</v>
      </c>
      <c r="K41" s="50">
        <f t="shared" ref="K41:N41" si="41">(J41+K14)+K61+K59</f>
        <v>7521.6021369908449</v>
      </c>
      <c r="L41" s="50">
        <f t="shared" si="41"/>
        <v>11287.279005379642</v>
      </c>
      <c r="M41" s="50">
        <f t="shared" si="41"/>
        <v>16527.442975029149</v>
      </c>
      <c r="N41" s="50">
        <f t="shared" si="41"/>
        <v>23039.720017359443</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50">
        <f>I42</f>
        <v>11802</v>
      </c>
      <c r="K42" s="50">
        <f t="shared" ref="K42:N42" si="42">J42</f>
        <v>11802</v>
      </c>
      <c r="L42" s="50">
        <f t="shared" si="42"/>
        <v>11802</v>
      </c>
      <c r="M42" s="50">
        <f t="shared" si="42"/>
        <v>11802</v>
      </c>
      <c r="N42" s="50">
        <f t="shared" si="42"/>
        <v>11802</v>
      </c>
    </row>
    <row r="43" spans="1:15" ht="15.75" thickBot="1" x14ac:dyDescent="0.3">
      <c r="A43" s="105" t="s">
        <v>173</v>
      </c>
      <c r="B43" s="106">
        <f>SUM(B33:B38)+SUM(B40:B42)</f>
        <v>19466</v>
      </c>
      <c r="C43" s="106">
        <f t="shared" ref="C43:N43" si="43">SUM(C33:C38)+SUM(C40:C42)</f>
        <v>19205</v>
      </c>
      <c r="D43" s="106">
        <f t="shared" si="43"/>
        <v>21211</v>
      </c>
      <c r="E43" s="106">
        <f t="shared" si="43"/>
        <v>20257</v>
      </c>
      <c r="F43" s="106">
        <f t="shared" si="43"/>
        <v>21105</v>
      </c>
      <c r="G43" s="106">
        <f t="shared" si="43"/>
        <v>29094</v>
      </c>
      <c r="H43" s="106">
        <f t="shared" si="43"/>
        <v>34904</v>
      </c>
      <c r="I43" s="106">
        <f t="shared" si="43"/>
        <v>36963</v>
      </c>
      <c r="J43" s="106">
        <f t="shared" si="43"/>
        <v>38394.520410792269</v>
      </c>
      <c r="K43" s="106">
        <f t="shared" si="43"/>
        <v>41008.602136990841</v>
      </c>
      <c r="L43" s="106">
        <f t="shared" si="43"/>
        <v>44774.279005379642</v>
      </c>
      <c r="M43" s="106">
        <f t="shared" si="43"/>
        <v>50014.442975029146</v>
      </c>
      <c r="N43" s="106">
        <f t="shared" si="43"/>
        <v>56526.720017359447</v>
      </c>
    </row>
    <row r="44" spans="1:15" ht="15.75" thickTop="1" x14ac:dyDescent="0.25">
      <c r="A44" s="110" t="s">
        <v>174</v>
      </c>
      <c r="B44" s="110">
        <f>B31-B43</f>
        <v>0</v>
      </c>
      <c r="C44" s="110">
        <f t="shared" ref="C44:I44" si="44">C31-C43</f>
        <v>0</v>
      </c>
      <c r="D44" s="110">
        <f t="shared" si="44"/>
        <v>0</v>
      </c>
      <c r="E44" s="110">
        <f t="shared" si="44"/>
        <v>0</v>
      </c>
      <c r="F44" s="110">
        <f t="shared" si="44"/>
        <v>0</v>
      </c>
      <c r="G44" s="110">
        <f t="shared" si="44"/>
        <v>0</v>
      </c>
      <c r="H44" s="110">
        <f t="shared" si="44"/>
        <v>0</v>
      </c>
      <c r="I44" s="110">
        <f t="shared" si="44"/>
        <v>0</v>
      </c>
      <c r="J44" s="110">
        <f>+J31-J43</f>
        <v>0</v>
      </c>
      <c r="K44" s="139">
        <f t="shared" ref="K44:N44" si="45">+K31-K43</f>
        <v>0</v>
      </c>
      <c r="L44" s="139">
        <f t="shared" si="45"/>
        <v>0</v>
      </c>
      <c r="M44" s="139">
        <f t="shared" si="45"/>
        <v>0</v>
      </c>
      <c r="N44" s="139">
        <f t="shared" si="45"/>
        <v>0</v>
      </c>
      <c r="O44" s="1"/>
    </row>
    <row r="45" spans="1:15" x14ac:dyDescent="0.25">
      <c r="A45" s="108" t="s">
        <v>175</v>
      </c>
      <c r="B45" s="92"/>
      <c r="C45" s="92"/>
      <c r="D45" s="92"/>
      <c r="E45" s="92"/>
      <c r="F45" s="92"/>
      <c r="G45" s="92"/>
      <c r="H45" s="92"/>
      <c r="I45" s="92"/>
      <c r="J45" s="128"/>
      <c r="K45" s="128"/>
      <c r="L45" s="128"/>
      <c r="M45" s="128"/>
      <c r="N45" s="128"/>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50">
        <f>J12</f>
        <v>687.66059853890476</v>
      </c>
      <c r="K48" s="50">
        <f t="shared" ref="K48:N48" si="46">K12</f>
        <v>977.7188686764049</v>
      </c>
      <c r="L48" s="50">
        <f t="shared" si="46"/>
        <v>1320.8481224235206</v>
      </c>
      <c r="M48" s="50">
        <f t="shared" si="46"/>
        <v>1804.9622142755543</v>
      </c>
      <c r="N48" s="50">
        <f t="shared" si="46"/>
        <v>2338.2581599165192</v>
      </c>
    </row>
    <row r="49" spans="1:16" x14ac:dyDescent="0.25">
      <c r="A49" s="93" t="s">
        <v>177</v>
      </c>
      <c r="B49" s="94">
        <f>B46-B48</f>
        <v>2971</v>
      </c>
      <c r="C49" s="94">
        <f t="shared" ref="C49:N49" si="47">C46-C48</f>
        <v>3894</v>
      </c>
      <c r="D49" s="94">
        <f t="shared" si="47"/>
        <v>4242</v>
      </c>
      <c r="E49" s="94">
        <f t="shared" si="47"/>
        <v>3850</v>
      </c>
      <c r="F49" s="94">
        <f t="shared" si="47"/>
        <v>4093</v>
      </c>
      <c r="G49" s="94">
        <f t="shared" si="47"/>
        <v>1948</v>
      </c>
      <c r="H49" s="94">
        <f t="shared" si="47"/>
        <v>5746</v>
      </c>
      <c r="I49" s="94">
        <f t="shared" si="47"/>
        <v>5625</v>
      </c>
      <c r="J49" s="98">
        <f t="shared" si="47"/>
        <v>6433.4581901647089</v>
      </c>
      <c r="K49" s="98">
        <f t="shared" si="47"/>
        <v>8188.8393852836844</v>
      </c>
      <c r="L49" s="98">
        <f t="shared" si="47"/>
        <v>9919.4771617904935</v>
      </c>
      <c r="M49" s="98">
        <f t="shared" si="47"/>
        <v>12167.081887373144</v>
      </c>
      <c r="N49" s="98">
        <f t="shared" si="47"/>
        <v>14175.382786868167</v>
      </c>
    </row>
    <row r="50" spans="1:16"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$O$50*J67</f>
        <v>248.64600000000002</v>
      </c>
      <c r="K50" s="50">
        <f t="shared" ref="K50:N50" si="48">$O$50*K67</f>
        <v>283.5472634993709</v>
      </c>
      <c r="L50" s="50">
        <f t="shared" si="48"/>
        <v>330.78624100554828</v>
      </c>
      <c r="M50" s="50">
        <f t="shared" si="48"/>
        <v>419.24666803313789</v>
      </c>
      <c r="N50" s="50">
        <f t="shared" si="48"/>
        <v>552.62226264140008</v>
      </c>
      <c r="O50" s="135">
        <v>2.9000000000000001E-2</v>
      </c>
    </row>
    <row r="51" spans="1:16" x14ac:dyDescent="0.25">
      <c r="A51" s="103" t="s">
        <v>179</v>
      </c>
      <c r="B51" s="122">
        <f>-(B23-B80)</f>
        <v>-1138</v>
      </c>
      <c r="C51" s="122">
        <f>-(C23-B23)</f>
        <v>-324</v>
      </c>
      <c r="D51" s="122">
        <f t="shared" ref="D51:I51" si="49">-(D23-C23)</f>
        <v>-796</v>
      </c>
      <c r="E51" s="122">
        <f t="shared" si="49"/>
        <v>204</v>
      </c>
      <c r="F51" s="122">
        <f t="shared" si="49"/>
        <v>-802</v>
      </c>
      <c r="G51" s="122">
        <f t="shared" si="49"/>
        <v>-586</v>
      </c>
      <c r="H51" s="122">
        <f t="shared" si="49"/>
        <v>-613</v>
      </c>
      <c r="I51" s="122">
        <f t="shared" si="49"/>
        <v>-1248</v>
      </c>
      <c r="J51" s="122">
        <f t="shared" ref="J51" si="50">-(J23-I23)</f>
        <v>-237.67386740181064</v>
      </c>
      <c r="K51" s="122">
        <f t="shared" ref="K51" si="51">-(K23-J23)</f>
        <v>-978.05107661754118</v>
      </c>
      <c r="L51" s="122">
        <f t="shared" ref="L51" si="52">-(L23-K23)</f>
        <v>-699.34019730747423</v>
      </c>
      <c r="M51" s="122">
        <f t="shared" ref="M51" si="53">-(M23-L23)</f>
        <v>-618.13826338303625</v>
      </c>
      <c r="N51" s="122">
        <f t="shared" ref="N51" si="54">-(N23-M23)</f>
        <v>-777.56508612016842</v>
      </c>
    </row>
    <row r="52" spans="1:16"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29">
        <f>-'Segmental forecast'!J14</f>
        <v>-739.98761279347923</v>
      </c>
      <c r="K52" s="129">
        <f>-'Segmental forecast'!K14</f>
        <v>-776.35100409996085</v>
      </c>
      <c r="L52" s="129">
        <f>-'Segmental forecast'!L14</f>
        <v>-793.1308565882531</v>
      </c>
      <c r="M52" s="129">
        <f>-'Segmental forecast'!M14</f>
        <v>-830.56348775891195</v>
      </c>
      <c r="N52" s="129">
        <f>-'Segmental forecast'!N14</f>
        <v>-868.465491370515</v>
      </c>
    </row>
    <row r="53" spans="1:16" x14ac:dyDescent="0.25">
      <c r="A53" s="93" t="s">
        <v>180</v>
      </c>
      <c r="B53" s="94">
        <f>B52+B49+B55+B56</f>
        <v>6688</v>
      </c>
      <c r="C53" s="94">
        <f t="shared" ref="C53:N53" si="55">C52+C49+C55+C56</f>
        <v>5847</v>
      </c>
      <c r="D53" s="94">
        <f t="shared" si="55"/>
        <v>6983</v>
      </c>
      <c r="E53" s="94">
        <f t="shared" si="55"/>
        <v>7777</v>
      </c>
      <c r="F53" s="94">
        <f t="shared" si="55"/>
        <v>8877</v>
      </c>
      <c r="G53" s="94">
        <f t="shared" si="55"/>
        <v>3347</v>
      </c>
      <c r="H53" s="94">
        <f t="shared" si="55"/>
        <v>11708</v>
      </c>
      <c r="I53" s="94">
        <f t="shared" si="55"/>
        <v>10055</v>
      </c>
      <c r="J53" s="98">
        <f t="shared" si="55"/>
        <v>12638.887814343043</v>
      </c>
      <c r="K53" s="98">
        <f t="shared" si="55"/>
        <v>15392.527303202496</v>
      </c>
      <c r="L53" s="98">
        <f t="shared" si="55"/>
        <v>19123.637007867692</v>
      </c>
      <c r="M53" s="98">
        <f t="shared" si="55"/>
        <v>23693.158239864442</v>
      </c>
      <c r="N53" s="98">
        <f t="shared" si="55"/>
        <v>27541.987206777572</v>
      </c>
    </row>
    <row r="54" spans="1:16"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50"/>
      <c r="K54" s="50"/>
      <c r="L54" s="50"/>
      <c r="M54" s="50"/>
      <c r="N54" s="50"/>
    </row>
    <row r="55" spans="1:16" x14ac:dyDescent="0.25">
      <c r="A55" s="112" t="s">
        <v>182</v>
      </c>
      <c r="B55" s="113">
        <f>B49+B47-(-B51)+B54</f>
        <v>4680</v>
      </c>
      <c r="C55" s="113">
        <f t="shared" ref="C55:N55" si="56">C49+C47-(-C51)+C54</f>
        <v>3096</v>
      </c>
      <c r="D55" s="113">
        <f t="shared" si="56"/>
        <v>3846</v>
      </c>
      <c r="E55" s="113">
        <f t="shared" si="56"/>
        <v>4955</v>
      </c>
      <c r="F55" s="113">
        <f t="shared" si="56"/>
        <v>5903</v>
      </c>
      <c r="G55" s="113">
        <f t="shared" si="56"/>
        <v>2485</v>
      </c>
      <c r="H55" s="113">
        <f t="shared" si="56"/>
        <v>6657</v>
      </c>
      <c r="I55" s="113">
        <f t="shared" si="56"/>
        <v>5188</v>
      </c>
      <c r="J55" s="113">
        <f t="shared" si="56"/>
        <v>6945.4172369718135</v>
      </c>
      <c r="K55" s="113">
        <f t="shared" si="56"/>
        <v>7980.0389220187735</v>
      </c>
      <c r="L55" s="113">
        <f t="shared" si="56"/>
        <v>9997.2907026654539</v>
      </c>
      <c r="M55" s="113">
        <f t="shared" si="56"/>
        <v>12356.639840250211</v>
      </c>
      <c r="N55" s="113">
        <f t="shared" si="56"/>
        <v>14235.069911279918</v>
      </c>
    </row>
    <row r="56" spans="1:16" x14ac:dyDescent="0.25">
      <c r="A56" s="103" t="s">
        <v>183</v>
      </c>
      <c r="B56" s="102"/>
      <c r="C56" s="102"/>
      <c r="D56" s="102"/>
      <c r="E56" s="102"/>
      <c r="F56" s="102"/>
      <c r="G56" s="102"/>
      <c r="H56" s="102"/>
      <c r="I56" s="102"/>
      <c r="J56" s="127"/>
      <c r="K56" s="127"/>
      <c r="L56" s="127"/>
      <c r="M56" s="127"/>
      <c r="N56" s="127"/>
    </row>
    <row r="57" spans="1:16"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8">
        <f>J30-I30</f>
        <v>0</v>
      </c>
      <c r="K57" s="138">
        <f t="shared" ref="K57:N57" si="57">K30-J30</f>
        <v>0</v>
      </c>
      <c r="L57" s="138">
        <f t="shared" si="57"/>
        <v>0</v>
      </c>
      <c r="M57" s="138">
        <f t="shared" si="57"/>
        <v>0</v>
      </c>
      <c r="N57" s="138">
        <f t="shared" si="57"/>
        <v>0</v>
      </c>
    </row>
    <row r="58" spans="1:16" x14ac:dyDescent="0.25">
      <c r="A58" s="112" t="s">
        <v>185</v>
      </c>
      <c r="B58" s="113">
        <f>B52+B57</f>
        <v>-175</v>
      </c>
      <c r="C58" s="113">
        <f t="shared" ref="C58:N58" si="58">C52+C57</f>
        <v>-1034</v>
      </c>
      <c r="D58" s="113">
        <f t="shared" si="58"/>
        <v>-1008</v>
      </c>
      <c r="E58" s="113">
        <f t="shared" si="58"/>
        <v>276</v>
      </c>
      <c r="F58" s="113">
        <f t="shared" si="58"/>
        <v>-264</v>
      </c>
      <c r="G58" s="113">
        <f t="shared" si="58"/>
        <v>-1028</v>
      </c>
      <c r="H58" s="113">
        <f t="shared" si="58"/>
        <v>-3800</v>
      </c>
      <c r="I58" s="113">
        <f t="shared" si="58"/>
        <v>-1524</v>
      </c>
      <c r="J58" s="130">
        <f t="shared" si="58"/>
        <v>-739.98761279347923</v>
      </c>
      <c r="K58" s="130">
        <f t="shared" si="58"/>
        <v>-776.35100409996085</v>
      </c>
      <c r="L58" s="130">
        <f t="shared" si="58"/>
        <v>-793.1308565882531</v>
      </c>
      <c r="M58" s="130">
        <f t="shared" si="58"/>
        <v>-830.56348775891195</v>
      </c>
      <c r="N58" s="130">
        <f t="shared" si="58"/>
        <v>-868.465491370515</v>
      </c>
    </row>
    <row r="59" spans="1:16"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8">
        <f>I59</f>
        <v>-2863</v>
      </c>
      <c r="K59" s="138">
        <f t="shared" ref="K59:N59" si="59">J59</f>
        <v>-2863</v>
      </c>
      <c r="L59" s="138">
        <f t="shared" si="59"/>
        <v>-2863</v>
      </c>
      <c r="M59" s="138">
        <f t="shared" si="59"/>
        <v>-2863</v>
      </c>
      <c r="N59" s="138">
        <f t="shared" si="59"/>
        <v>-2863</v>
      </c>
      <c r="P59" s="144" t="s">
        <v>201</v>
      </c>
    </row>
    <row r="60" spans="1:16" x14ac:dyDescent="0.25">
      <c r="A60" s="104" t="s">
        <v>129</v>
      </c>
      <c r="B60" s="60" t="str">
        <f>IFERROR((B59-A59)/A59,"nm")</f>
        <v>nm</v>
      </c>
      <c r="C60" s="60">
        <f t="shared" ref="C60:I60" si="60">IFERROR((C59-B59)/B59,"nm")</f>
        <v>0.35198019801980196</v>
      </c>
      <c r="D60" s="60">
        <f t="shared" si="60"/>
        <v>1.0984987184181618E-3</v>
      </c>
      <c r="E60" s="60">
        <f t="shared" si="60"/>
        <v>0.28785662033650328</v>
      </c>
      <c r="F60" s="60">
        <f t="shared" si="60"/>
        <v>1.8460664583925021E-2</v>
      </c>
      <c r="G60" s="60">
        <f t="shared" si="60"/>
        <v>-0.39152258784160626</v>
      </c>
      <c r="H60" s="60">
        <f t="shared" si="60"/>
        <v>-1.2584784601283225</v>
      </c>
      <c r="I60" s="60">
        <f t="shared" si="60"/>
        <v>-6.0762411347517729</v>
      </c>
      <c r="J60" s="82">
        <f>AVERAGE(C60:I60)*(1+$O$60)</f>
        <v>-1.060026930159458</v>
      </c>
      <c r="K60" s="82">
        <f t="shared" ref="K60:N60" si="61">AVERAGE(D60:J60)*(1+$O$60)</f>
        <v>-1.2718279993863471</v>
      </c>
      <c r="L60" s="82">
        <f t="shared" si="61"/>
        <v>-1.4627669741020619</v>
      </c>
      <c r="M60" s="82">
        <f t="shared" si="61"/>
        <v>-1.7253605132678465</v>
      </c>
      <c r="N60" s="82">
        <f t="shared" si="61"/>
        <v>-1.9869336899456123</v>
      </c>
      <c r="O60" s="132">
        <v>0.05</v>
      </c>
    </row>
    <row r="61" spans="1:16"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8">
        <f>-J17*J15</f>
        <v>-1890.2917793724412</v>
      </c>
      <c r="K61" s="138">
        <f t="shared" ref="K61:N61" si="62">-K17*K15</f>
        <v>-2428.2103955857383</v>
      </c>
      <c r="L61" s="138">
        <f t="shared" si="62"/>
        <v>-2960.0140523961481</v>
      </c>
      <c r="M61" s="138">
        <f t="shared" si="62"/>
        <v>-3644.6712496904979</v>
      </c>
      <c r="N61" s="138">
        <f t="shared" si="62"/>
        <v>-4247.4834818964728</v>
      </c>
      <c r="O61" s="136"/>
    </row>
    <row r="62" spans="1:16"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8"/>
      <c r="K62" s="138"/>
      <c r="L62" s="138"/>
      <c r="M62" s="138"/>
      <c r="N62" s="138"/>
    </row>
    <row r="63" spans="1:16"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8"/>
      <c r="K63" s="138"/>
      <c r="L63" s="138"/>
      <c r="M63" s="138"/>
      <c r="N63" s="138"/>
    </row>
    <row r="64" spans="1:16" x14ac:dyDescent="0.25">
      <c r="A64" s="112" t="s">
        <v>190</v>
      </c>
      <c r="B64" s="113">
        <f>B59+B61+B62+B63</f>
        <v>-2790</v>
      </c>
      <c r="C64" s="113">
        <f t="shared" ref="C64:I64" si="63">C59+C61+C62+C63</f>
        <v>-2671</v>
      </c>
      <c r="D64" s="113">
        <f t="shared" si="63"/>
        <v>-2148</v>
      </c>
      <c r="E64" s="113">
        <f t="shared" si="63"/>
        <v>-4835</v>
      </c>
      <c r="F64" s="113">
        <f t="shared" si="63"/>
        <v>-5293</v>
      </c>
      <c r="G64" s="113">
        <f t="shared" si="63"/>
        <v>2491</v>
      </c>
      <c r="H64" s="113">
        <f t="shared" si="63"/>
        <v>-1459</v>
      </c>
      <c r="I64" s="113">
        <f t="shared" si="63"/>
        <v>-4836</v>
      </c>
      <c r="J64" s="113">
        <f>J59+J61+J62+J63-J50</f>
        <v>-5001.9377793724407</v>
      </c>
      <c r="K64" s="113">
        <f t="shared" ref="K64:N64" si="64">K59+K61+K62+K63-K50</f>
        <v>-5574.7576590851095</v>
      </c>
      <c r="L64" s="113">
        <f t="shared" si="64"/>
        <v>-6153.8002934016968</v>
      </c>
      <c r="M64" s="113">
        <f t="shared" si="64"/>
        <v>-6926.9179177236365</v>
      </c>
      <c r="N64" s="113">
        <f t="shared" si="64"/>
        <v>-7663.1057445378729</v>
      </c>
    </row>
    <row r="65" spans="1:14"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8"/>
      <c r="K65" s="138"/>
      <c r="L65" s="138"/>
      <c r="M65" s="138"/>
      <c r="N65" s="138"/>
    </row>
    <row r="66" spans="1:14"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1203.4918448058934</v>
      </c>
      <c r="K66" s="113">
        <f t="shared" si="65"/>
        <v>1628.9302588337032</v>
      </c>
      <c r="L66" s="113">
        <f t="shared" si="65"/>
        <v>3050.3595526755034</v>
      </c>
      <c r="M66" s="113">
        <f t="shared" si="65"/>
        <v>4599.1584347676617</v>
      </c>
      <c r="N66" s="113">
        <f t="shared" si="65"/>
        <v>5703.4986753715302</v>
      </c>
    </row>
    <row r="67" spans="1:14"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9777.4918448058925</v>
      </c>
      <c r="L67" s="102">
        <f t="shared" ref="L67" si="69">K68</f>
        <v>11406.422103639596</v>
      </c>
      <c r="M67" s="102">
        <f t="shared" ref="M67" si="70">L68</f>
        <v>14456.781656315099</v>
      </c>
      <c r="N67" s="102">
        <f t="shared" ref="N67" si="71">M68</f>
        <v>19055.940091082761</v>
      </c>
    </row>
    <row r="68" spans="1:14"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9777.4918448058925</v>
      </c>
      <c r="K68" s="106">
        <f t="shared" si="72"/>
        <v>11406.422103639596</v>
      </c>
      <c r="L68" s="106">
        <f t="shared" si="72"/>
        <v>14456.781656315099</v>
      </c>
      <c r="M68" s="106">
        <f t="shared" si="72"/>
        <v>19055.940091082761</v>
      </c>
      <c r="N68" s="106">
        <f t="shared" si="72"/>
        <v>24759.438766454292</v>
      </c>
    </row>
    <row r="69" spans="1:14" ht="15.75" thickTop="1" x14ac:dyDescent="0.25">
      <c r="A69" s="117" t="s">
        <v>174</v>
      </c>
      <c r="B69" s="116">
        <f>B21-B68</f>
        <v>0</v>
      </c>
      <c r="C69" s="116">
        <f t="shared" ref="C69:N69" si="73">C21-C68</f>
        <v>0</v>
      </c>
      <c r="D69" s="116">
        <f t="shared" si="73"/>
        <v>0</v>
      </c>
      <c r="E69" s="116">
        <f t="shared" si="73"/>
        <v>0</v>
      </c>
      <c r="F69" s="116">
        <f t="shared" si="73"/>
        <v>0</v>
      </c>
      <c r="G69" s="116">
        <f t="shared" si="73"/>
        <v>0</v>
      </c>
      <c r="H69" s="116">
        <f t="shared" si="73"/>
        <v>0</v>
      </c>
      <c r="I69" s="116">
        <f t="shared" si="73"/>
        <v>0</v>
      </c>
      <c r="J69" s="116">
        <f t="shared" si="73"/>
        <v>0</v>
      </c>
      <c r="K69" s="116">
        <f t="shared" si="73"/>
        <v>0</v>
      </c>
      <c r="L69" s="116">
        <f t="shared" si="73"/>
        <v>0</v>
      </c>
      <c r="M69" s="116">
        <f t="shared" si="73"/>
        <v>0</v>
      </c>
      <c r="N69" s="116">
        <f t="shared" si="73"/>
        <v>0</v>
      </c>
    </row>
    <row r="70" spans="1:14" x14ac:dyDescent="0.25">
      <c r="A70" s="146" t="s">
        <v>195</v>
      </c>
      <c r="B70" s="145">
        <f>B22-B68</f>
        <v>-1780</v>
      </c>
      <c r="C70" s="145">
        <f t="shared" ref="C70:N70" si="74">C22-C68</f>
        <v>-819</v>
      </c>
      <c r="D70" s="145">
        <f t="shared" si="74"/>
        <v>-1437</v>
      </c>
      <c r="E70" s="145">
        <f t="shared" si="74"/>
        <v>-3253</v>
      </c>
      <c r="F70" s="145">
        <f t="shared" si="74"/>
        <v>-4269</v>
      </c>
      <c r="G70" s="145">
        <f t="shared" si="74"/>
        <v>-7909</v>
      </c>
      <c r="H70" s="145">
        <f t="shared" si="74"/>
        <v>-6302</v>
      </c>
      <c r="I70" s="145">
        <f t="shared" si="74"/>
        <v>-4151</v>
      </c>
      <c r="J70" s="145">
        <f t="shared" si="74"/>
        <v>-5354.4918448058925</v>
      </c>
      <c r="K70" s="145">
        <f t="shared" si="74"/>
        <v>-6983.4221036395957</v>
      </c>
      <c r="L70" s="145">
        <f t="shared" si="74"/>
        <v>-10033.781656315099</v>
      </c>
      <c r="M70" s="145">
        <f t="shared" si="74"/>
        <v>-14632.940091082761</v>
      </c>
      <c r="N70" s="145">
        <f t="shared" si="74"/>
        <v>-20336.438766454292</v>
      </c>
    </row>
    <row r="71" spans="1:14" x14ac:dyDescent="0.25">
      <c r="A71" s="117"/>
      <c r="B71" s="116"/>
      <c r="C71" s="116"/>
      <c r="D71" s="116"/>
      <c r="E71" s="116"/>
      <c r="F71" s="116"/>
      <c r="G71" s="116"/>
      <c r="H71" s="116"/>
      <c r="I71" s="116"/>
      <c r="J71" s="116"/>
      <c r="K71" s="116"/>
      <c r="L71" s="116"/>
      <c r="M71" s="116"/>
      <c r="N71" s="116"/>
    </row>
    <row r="72" spans="1:14" x14ac:dyDescent="0.25">
      <c r="B72" s="59"/>
      <c r="C72" s="59"/>
      <c r="D72" s="59"/>
      <c r="E72" s="59"/>
      <c r="F72" s="59"/>
      <c r="G72" s="59"/>
      <c r="H72" s="59"/>
      <c r="I72" s="59"/>
      <c r="J72" s="59"/>
      <c r="K72" s="59"/>
      <c r="L72" s="59"/>
      <c r="M72" s="59"/>
      <c r="N72" s="59"/>
    </row>
    <row r="73" spans="1:14" x14ac:dyDescent="0.25">
      <c r="A73" t="s">
        <v>211</v>
      </c>
      <c r="B73" s="150">
        <v>112.69333115384613</v>
      </c>
      <c r="C73" s="59"/>
      <c r="D73" s="59"/>
      <c r="E73" s="59"/>
      <c r="F73" s="59"/>
      <c r="G73" s="59"/>
      <c r="H73" s="59"/>
      <c r="I73" s="59"/>
    </row>
    <row r="74" spans="1:14" x14ac:dyDescent="0.25">
      <c r="B74" s="150"/>
      <c r="C74" s="59"/>
      <c r="D74" s="59"/>
      <c r="E74" s="59"/>
      <c r="F74" s="59"/>
      <c r="G74" s="59"/>
      <c r="H74" s="59"/>
      <c r="I74" s="59"/>
    </row>
    <row r="76" spans="1:14" x14ac:dyDescent="0.25">
      <c r="A76" s="118">
        <v>2014</v>
      </c>
      <c r="B76" s="118"/>
    </row>
    <row r="77" spans="1:14" x14ac:dyDescent="0.25">
      <c r="A77" s="118" t="s">
        <v>35</v>
      </c>
      <c r="B77" s="119">
        <v>2922</v>
      </c>
    </row>
    <row r="78" spans="1:14" x14ac:dyDescent="0.25">
      <c r="A78" s="118" t="s">
        <v>197</v>
      </c>
      <c r="B78" s="119">
        <v>3434</v>
      </c>
    </row>
    <row r="79" spans="1:14" x14ac:dyDescent="0.25">
      <c r="A79" s="118" t="s">
        <v>198</v>
      </c>
      <c r="B79" s="119">
        <v>1930</v>
      </c>
    </row>
    <row r="80" spans="1:14" x14ac:dyDescent="0.25">
      <c r="A80" s="120" t="s">
        <v>159</v>
      </c>
      <c r="B80" s="121">
        <f>(+B77+B78)-B79</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2023-11-07T10:03:13Z</dcterms:modified>
</cp:coreProperties>
</file>