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136" documentId="11_9E8FDEF8ED3D02121E579655E3D9797F18874701" xr6:coauthVersionLast="47" xr6:coauthVersionMax="47" xr10:uidLastSave="{C11B7E75-1687-4751-A0B9-364418CB8706}"/>
  <bookViews>
    <workbookView xWindow="-110" yWindow="-110" windowWidth="19420" windowHeight="12220" activeTab="1" xr2:uid="{00000000-000D-0000-FFFF-FFFF00000000}"/>
  </bookViews>
  <sheets>
    <sheet name="Instructions" sheetId="2" r:id="rId1"/>
    <sheet name="Financial Statements" sheetId="1" r:id="rId2"/>
    <sheet name="List of Ratios" sheetId="3" r:id="rId3"/>
    <sheet name="Other Working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3" l="1"/>
  <c r="B141" i="3"/>
  <c r="D11" i="3"/>
  <c r="E11" i="3"/>
  <c r="C11" i="3"/>
  <c r="D45" i="3"/>
  <c r="E45" i="3"/>
  <c r="C45" i="3"/>
  <c r="D43" i="3"/>
  <c r="E43" i="3"/>
  <c r="C43" i="3"/>
  <c r="E41" i="3"/>
  <c r="D41" i="3"/>
  <c r="C41" i="3"/>
  <c r="E48" i="3"/>
  <c r="D48" i="3"/>
  <c r="C48" i="3"/>
  <c r="D29" i="3"/>
  <c r="E29" i="3"/>
  <c r="C29" i="3"/>
  <c r="D27" i="3"/>
  <c r="E27" i="3"/>
  <c r="C27" i="3"/>
  <c r="D26" i="3"/>
  <c r="E26" i="3"/>
  <c r="C26" i="3"/>
  <c r="D25" i="3"/>
  <c r="E25" i="3"/>
  <c r="C25" i="3"/>
  <c r="D21" i="3"/>
  <c r="E21" i="3"/>
  <c r="C21" i="3"/>
  <c r="E19" i="3"/>
  <c r="D19" i="3"/>
  <c r="C19" i="3"/>
  <c r="D10" i="3"/>
  <c r="E10" i="3"/>
  <c r="C10" i="3"/>
  <c r="D8" i="3"/>
  <c r="E8" i="3"/>
  <c r="C8" i="3"/>
  <c r="D126" i="4"/>
  <c r="C126" i="4"/>
  <c r="B126" i="4"/>
  <c r="D117" i="4"/>
  <c r="C117" i="4"/>
  <c r="B117" i="4"/>
  <c r="D85" i="4"/>
  <c r="C85" i="4"/>
  <c r="B85" i="4"/>
  <c r="D77" i="4"/>
  <c r="C77" i="4"/>
  <c r="C78" i="4" s="1"/>
  <c r="B77" i="4"/>
  <c r="B78" i="4" s="1"/>
  <c r="D71" i="4"/>
  <c r="D79" i="4" s="1"/>
  <c r="C71" i="4"/>
  <c r="B71" i="4"/>
  <c r="D60" i="4"/>
  <c r="D137" i="4" s="1"/>
  <c r="C60" i="4"/>
  <c r="B60" i="4"/>
  <c r="D54" i="4"/>
  <c r="D62" i="4" s="1"/>
  <c r="C54" i="4"/>
  <c r="B54" i="4"/>
  <c r="D45" i="4"/>
  <c r="D91" i="4" s="1"/>
  <c r="C45" i="4"/>
  <c r="C91" i="4" s="1"/>
  <c r="B45" i="4"/>
  <c r="B91" i="4" s="1"/>
  <c r="D27" i="4"/>
  <c r="C27" i="4"/>
  <c r="B27" i="4"/>
  <c r="C25" i="4"/>
  <c r="B25" i="4"/>
  <c r="C22" i="4"/>
  <c r="B22" i="4"/>
  <c r="D15" i="4"/>
  <c r="C15" i="4"/>
  <c r="B15" i="4"/>
  <c r="D10" i="4"/>
  <c r="D136" i="4" s="1"/>
  <c r="C10" i="4"/>
  <c r="C136" i="4" s="1"/>
  <c r="B10" i="4"/>
  <c r="B136" i="4" s="1"/>
  <c r="C9" i="4"/>
  <c r="B9" i="4"/>
  <c r="C7" i="4"/>
  <c r="B7" i="4"/>
  <c r="D46" i="3"/>
  <c r="E46" i="3"/>
  <c r="C46" i="3"/>
  <c r="B68" i="1"/>
  <c r="C42" i="3" s="1"/>
  <c r="D108" i="1"/>
  <c r="C108" i="1"/>
  <c r="B108" i="1"/>
  <c r="D99" i="1"/>
  <c r="C99" i="1"/>
  <c r="B99" i="1"/>
  <c r="B61" i="4" l="1"/>
  <c r="B137" i="4"/>
  <c r="C61" i="4"/>
  <c r="C137" i="4"/>
  <c r="B26" i="4"/>
  <c r="B23" i="4"/>
  <c r="B17" i="4"/>
  <c r="B11" i="4"/>
  <c r="C26" i="4"/>
  <c r="C23" i="4"/>
  <c r="C17" i="4"/>
  <c r="C11" i="4"/>
  <c r="D26" i="4"/>
  <c r="D23" i="4"/>
  <c r="D17" i="4"/>
  <c r="B16" i="4"/>
  <c r="C16" i="4"/>
  <c r="D16" i="4"/>
  <c r="B62" i="4"/>
  <c r="B55" i="4"/>
  <c r="C62" i="4"/>
  <c r="C63" i="4" s="1"/>
  <c r="C55" i="4"/>
  <c r="B79" i="4"/>
  <c r="B72" i="4"/>
  <c r="C79" i="4"/>
  <c r="C80" i="4" s="1"/>
  <c r="C72" i="4"/>
  <c r="B87" i="4"/>
  <c r="B86" i="4"/>
  <c r="C87" i="4"/>
  <c r="C86" i="4"/>
  <c r="D87" i="4"/>
  <c r="D68" i="1"/>
  <c r="C68" i="1"/>
  <c r="D61" i="1"/>
  <c r="C61" i="1"/>
  <c r="B61" i="1"/>
  <c r="D56" i="1"/>
  <c r="C56" i="1"/>
  <c r="B56" i="1"/>
  <c r="D47" i="1"/>
  <c r="D117" i="1" s="1"/>
  <c r="C47" i="1"/>
  <c r="C117" i="1" s="1"/>
  <c r="B47" i="1"/>
  <c r="B117" i="1" s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16" i="1" l="1"/>
  <c r="C116" i="1"/>
  <c r="D116" i="1"/>
  <c r="B80" i="4"/>
  <c r="B63" i="4"/>
  <c r="D28" i="4"/>
  <c r="D19" i="4"/>
  <c r="C28" i="4"/>
  <c r="C19" i="4"/>
  <c r="C18" i="4"/>
  <c r="B28" i="4"/>
  <c r="B19" i="4"/>
  <c r="B18" i="4"/>
  <c r="C35" i="3"/>
  <c r="D35" i="3"/>
  <c r="D13" i="1"/>
  <c r="E35" i="3"/>
  <c r="C36" i="3"/>
  <c r="C9" i="3" s="1"/>
  <c r="C12" i="3" s="1"/>
  <c r="D36" i="3"/>
  <c r="D9" i="3" s="1"/>
  <c r="D12" i="3" s="1"/>
  <c r="E36" i="3"/>
  <c r="E9" i="3" s="1"/>
  <c r="E12" i="3" s="1"/>
  <c r="C48" i="1"/>
  <c r="D14" i="3"/>
  <c r="D13" i="3" s="1"/>
  <c r="D5" i="3"/>
  <c r="E14" i="3"/>
  <c r="E13" i="3" s="1"/>
  <c r="E5" i="3"/>
  <c r="C7" i="3"/>
  <c r="C6" i="3"/>
  <c r="C62" i="1"/>
  <c r="D7" i="3"/>
  <c r="D6" i="3"/>
  <c r="E7" i="3"/>
  <c r="E6" i="3"/>
  <c r="D42" i="3"/>
  <c r="E42" i="3"/>
  <c r="B48" i="1"/>
  <c r="C14" i="3"/>
  <c r="C13" i="3" s="1"/>
  <c r="C5" i="3"/>
  <c r="B13" i="1"/>
  <c r="C17" i="3" s="1"/>
  <c r="C13" i="1"/>
  <c r="B62" i="1"/>
  <c r="B69" i="1" s="1"/>
  <c r="B1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31" i="4" l="1"/>
  <c r="B29" i="4"/>
  <c r="C31" i="4"/>
  <c r="C29" i="4"/>
  <c r="D31" i="4"/>
  <c r="D29" i="4"/>
  <c r="E34" i="3"/>
  <c r="B20" i="1"/>
  <c r="B22" i="1" s="1"/>
  <c r="C18" i="1"/>
  <c r="C20" i="1" s="1"/>
  <c r="C22" i="1" s="1"/>
  <c r="D17" i="3"/>
  <c r="D34" i="3"/>
  <c r="D18" i="1"/>
  <c r="D20" i="1" s="1"/>
  <c r="D22" i="1" s="1"/>
  <c r="E17" i="3"/>
  <c r="C34" i="3"/>
  <c r="B76" i="1"/>
  <c r="B91" i="1" s="1"/>
  <c r="C37" i="3"/>
  <c r="A24" i="3"/>
  <c r="A25" i="3" s="1"/>
  <c r="A26" i="3" s="1"/>
  <c r="A27" i="3" s="1"/>
  <c r="A28" i="3" s="1"/>
  <c r="A29" i="3" s="1"/>
  <c r="A30" i="3" s="1"/>
  <c r="A33" i="3"/>
  <c r="D132" i="4" l="1"/>
  <c r="D33" i="4"/>
  <c r="C132" i="4"/>
  <c r="C33" i="4"/>
  <c r="B132" i="4"/>
  <c r="B33" i="4"/>
  <c r="B109" i="1"/>
  <c r="C31" i="3"/>
  <c r="C30" i="3" s="1"/>
  <c r="D76" i="1"/>
  <c r="D91" i="1" s="1"/>
  <c r="E18" i="3"/>
  <c r="E40" i="3"/>
  <c r="E44" i="3"/>
  <c r="E49" i="3"/>
  <c r="E47" i="3"/>
  <c r="E22" i="3"/>
  <c r="E37" i="3"/>
  <c r="C76" i="1"/>
  <c r="C91" i="1" s="1"/>
  <c r="D18" i="3"/>
  <c r="D40" i="3"/>
  <c r="D44" i="3"/>
  <c r="D49" i="3"/>
  <c r="D47" i="3"/>
  <c r="D22" i="3"/>
  <c r="D37" i="3"/>
  <c r="C40" i="3"/>
  <c r="C44" i="3"/>
  <c r="C49" i="3"/>
  <c r="C47" i="3"/>
  <c r="C22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B94" i="4" l="1"/>
  <c r="B109" i="4" s="1"/>
  <c r="B127" i="4" s="1"/>
  <c r="B34" i="4"/>
  <c r="C94" i="4"/>
  <c r="C109" i="4" s="1"/>
  <c r="C127" i="4" s="1"/>
  <c r="C34" i="4"/>
  <c r="D94" i="4"/>
  <c r="D109" i="4" s="1"/>
  <c r="D127" i="4" s="1"/>
  <c r="D34" i="4"/>
  <c r="C18" i="3"/>
  <c r="C50" i="3"/>
  <c r="C28" i="3"/>
  <c r="C20" i="3"/>
  <c r="D28" i="3"/>
  <c r="D20" i="3"/>
  <c r="C109" i="1"/>
  <c r="D31" i="3"/>
  <c r="D30" i="3" s="1"/>
  <c r="E28" i="3"/>
  <c r="E20" i="3"/>
  <c r="D109" i="1"/>
  <c r="E31" i="3"/>
  <c r="E30" i="3" s="1"/>
</calcChain>
</file>

<file path=xl/sharedStrings.xml><?xml version="1.0" encoding="utf-8"?>
<sst xmlns="http://schemas.openxmlformats.org/spreadsheetml/2006/main" count="315" uniqueCount="172">
  <si>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</si>
  <si>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</si>
  <si>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</si>
  <si>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</si>
  <si>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</si>
  <si>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</si>
  <si>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</si>
  <si>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</si>
  <si>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</si>
  <si>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</si>
  <si>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</si>
  <si>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</si>
  <si>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</si>
  <si>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</si>
  <si>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</si>
  <si>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</si>
  <si>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</si>
  <si>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</si>
  <si>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</si>
  <si>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</si>
  <si>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</si>
  <si>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</si>
  <si>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</si>
  <si>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</si>
  <si>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</si>
  <si>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</si>
  <si>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</si>
  <si>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</si>
  <si>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</si>
  <si>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</si>
  <si>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</si>
  <si>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</si>
  <si>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</si>
  <si>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</si>
  <si>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</si>
  <si>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</si>
  <si>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</si>
  <si>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</si>
  <si>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</si>
  <si>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</si>
  <si>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</si>
  <si>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</si>
  <si>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</si>
  <si>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</si>
  <si>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</si>
  <si>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</si>
  <si>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</si>
  <si>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</si>
  <si>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</si>
  <si>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</si>
  <si>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</si>
  <si>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</si>
  <si>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</si>
  <si>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</si>
  <si>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</si>
  <si>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</si>
  <si>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</si>
  <si>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</si>
  <si>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</si>
  <si>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</si>
  <si>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</si>
  <si>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</si>
  <si>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</si>
  <si>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</si>
  <si>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</si>
  <si>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</si>
  <si>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</si>
  <si>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</si>
  <si>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</si>
  <si>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</si>
  <si>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</si>
  <si>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</si>
  <si>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</si>
  <si>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</si>
  <si>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</si>
  <si>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</si>
  <si>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</si>
  <si>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</si>
  <si>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</si>
  <si>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</si>
  <si>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</si>
  <si>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</si>
  <si>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</si>
  <si>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</si>
  <si>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</si>
  <si>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</si>
  <si>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</si>
  <si>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</si>
  <si>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</si>
  <si>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</si>
  <si>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</si>
  <si>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</si>
  <si>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</si>
  <si>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</si>
  <si>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</si>
  <si>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</si>
  <si>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</si>
  <si>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</si>
  <si>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</si>
  <si>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</si>
  <si>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</si>
  <si>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</si>
  <si>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</si>
  <si>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</si>
  <si>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</si>
  <si>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</si>
  <si>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</si>
  <si>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</si>
  <si>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Feedback</t>
  </si>
  <si>
    <t>Liquidity</t>
  </si>
  <si>
    <t>Current ratio</t>
  </si>
  <si>
    <t>Quick Ratio</t>
  </si>
  <si>
    <t>Cash Ratio</t>
  </si>
  <si>
    <t>Defensive Interval</t>
  </si>
  <si>
    <t>Current Assets / Daily Operational Expenses, where Daily Operational Expenses = (Annual Operating Expenses - Noncash Charges) / 365</t>
  </si>
  <si>
    <t>Inventory Days</t>
  </si>
  <si>
    <t>Payable Days</t>
  </si>
  <si>
    <t>Payables/Cost of sales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</si>
  <si>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</si>
  <si>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</si>
  <si>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</si>
  <si>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</si>
  <si>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</si>
  <si>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</si>
  <si>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</si>
  <si>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EBITDA = Operating income + Depreciation &amp; amortization</t>
  </si>
  <si>
    <t>EBIT margin</t>
  </si>
  <si>
    <t>EBIT</t>
  </si>
  <si>
    <t>Net margin</t>
  </si>
  <si>
    <t>Solvency/ debt management</t>
  </si>
  <si>
    <t>Debt to equity (D/E)</t>
  </si>
  <si>
    <t>Term debt (under long term liabilities)/Total shareholder equity</t>
  </si>
  <si>
    <t>Debt to total assets</t>
  </si>
  <si>
    <t>Include only long term debt other items are not considered long term debt, rather they are liabilities</t>
  </si>
  <si>
    <t>Long-term debt to capital</t>
  </si>
  <si>
    <t>For debt link only long term debt other items are not considered long term debt, rather they are liabilities</t>
  </si>
  <si>
    <t>Times interest earned</t>
  </si>
  <si>
    <t>Debt coverage</t>
  </si>
  <si>
    <t>Net Operating Income/ (Interest + Debt repayment)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</si>
  <si>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</si>
  <si>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</si>
  <si>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</si>
  <si>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</si>
  <si>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</si>
  <si>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</si>
  <si>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</si>
  <si>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</si>
  <si>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</si>
  <si>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</si>
  <si>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Link diluted EPS</t>
  </si>
  <si>
    <t>Price to book value (PBV)</t>
  </si>
  <si>
    <t>Book value per share (BV)</t>
  </si>
  <si>
    <t>Link diluted shares</t>
  </si>
  <si>
    <t>Dividend payout ratio</t>
  </si>
  <si>
    <t>Dividend per share</t>
  </si>
  <si>
    <t>Dividend yield</t>
  </si>
  <si>
    <t>Return on equity (ROE)</t>
  </si>
  <si>
    <t>Return on capital employed (ROCE)</t>
  </si>
  <si>
    <t>Use only Shareholder equity and Term debt for capital employed. Other items are not actual capital</t>
  </si>
  <si>
    <t>Enterprise value to EBITDA (EV/EBITDA)</t>
  </si>
  <si>
    <t>Enterprise value (EV)</t>
  </si>
  <si>
    <t>Market capitalization  + Long term debt - Cash &amp; cash equivalents</t>
  </si>
  <si>
    <t xml:space="preserve">     Growth Rate </t>
  </si>
  <si>
    <t xml:space="preserve">     Net sales Growth Rate</t>
  </si>
  <si>
    <t xml:space="preserve">       COGS as a % Net Sales</t>
  </si>
  <si>
    <t xml:space="preserve">     Gross Profit Growth Rate</t>
  </si>
  <si>
    <t xml:space="preserve">        Gross Profit as a % Net Sales</t>
  </si>
  <si>
    <t xml:space="preserve">        R&amp;D as a % Net Sales </t>
  </si>
  <si>
    <t xml:space="preserve">        SG&amp;A as a % Net Sales </t>
  </si>
  <si>
    <t xml:space="preserve">        Operating Income margin</t>
  </si>
  <si>
    <t xml:space="preserve">        Net income Margin</t>
  </si>
  <si>
    <t xml:space="preserve">          Income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</si>
</sst>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%"/>
    <numFmt numFmtId="169" formatCode="_-* #,##0.0_-;\-* #,##0.0_-;_-* &quot;-&quot;?_-;_-@_-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164" fontId="0" fillId="0" borderId="0" xfId="1" applyFont="1"/>
    <xf numFmtId="2" fontId="0" fillId="0" borderId="0" xfId="0" applyNumberFormat="1"/>
    <xf numFmtId="43" fontId="0" fillId="0" borderId="0" xfId="0" applyNumberFormat="1"/>
    <xf numFmtId="168" fontId="0" fillId="0" borderId="0" xfId="3" applyNumberFormat="1" applyFont="1"/>
    <xf numFmtId="169" fontId="0" fillId="0" borderId="0" xfId="0" applyNumberFormat="1"/>
    <xf numFmtId="164" fontId="0" fillId="0" borderId="0" xfId="0" applyNumberFormat="1"/>
    <xf numFmtId="10" fontId="0" fillId="0" borderId="0" xfId="0" applyNumberFormat="1"/>
    <xf numFmtId="4" fontId="0" fillId="0" borderId="0" xfId="0" applyNumberFormat="1"/>
    <xf numFmtId="165" fontId="2" fillId="0" borderId="0" xfId="1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165" fontId="2" fillId="0" borderId="5" xfId="1" applyNumberFormat="1" applyFont="1" applyBorder="1"/>
    <xf numFmtId="165" fontId="2" fillId="0" borderId="6" xfId="1" applyNumberFormat="1" applyFont="1" applyBorder="1"/>
    <xf numFmtId="168" fontId="0" fillId="0" borderId="0" xfId="0" applyNumberForma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2" fillId="0" borderId="7" xfId="1" applyNumberFormat="1" applyFont="1" applyBorder="1"/>
    <xf numFmtId="0" fontId="8" fillId="2" borderId="0" xfId="0" applyFont="1" applyFill="1" applyAlignment="1">
      <alignment horizontal="center"/>
    </xf>
    <xf numFmtId="170" fontId="0" fillId="0" borderId="0" xfId="0" applyNumberFormat="1"/>
    <xf numFmtId="3" fontId="9" fillId="0" borderId="0" xfId="0" applyNumberFormat="1" applyFont="1"/>
    <xf numFmtId="0" fontId="10" fillId="0" borderId="0" xfId="0" applyFont="1" applyAlignment="1">
      <alignment horizontal="left" indent="1"/>
    </xf>
    <xf numFmtId="168" fontId="10" fillId="0" borderId="0" xfId="1" applyNumberFormat="1" applyFont="1"/>
    <xf numFmtId="168" fontId="11" fillId="0" borderId="0" xfId="1" applyNumberFormat="1" applyFont="1"/>
    <xf numFmtId="0" fontId="10" fillId="0" borderId="5" xfId="0" applyFont="1" applyBorder="1" applyAlignment="1">
      <alignment horizontal="left" indent="1"/>
    </xf>
    <xf numFmtId="168" fontId="10" fillId="0" borderId="5" xfId="1" applyNumberFormat="1" applyFont="1" applyBorder="1"/>
    <xf numFmtId="0" fontId="10" fillId="0" borderId="5" xfId="0" applyFont="1" applyBorder="1"/>
    <xf numFmtId="168" fontId="10" fillId="0" borderId="0" xfId="1" applyNumberFormat="1" applyFont="1" applyBorder="1"/>
    <xf numFmtId="0" fontId="10" fillId="0" borderId="0" xfId="0" applyFont="1"/>
    <xf numFmtId="0" fontId="11" fillId="0" borderId="0" xfId="0" applyFont="1"/>
    <xf numFmtId="165" fontId="11" fillId="0" borderId="0" xfId="1" applyNumberFormat="1" applyFont="1"/>
    <xf numFmtId="0" fontId="10" fillId="0" borderId="6" xfId="0" applyFont="1" applyBorder="1"/>
    <xf numFmtId="168" fontId="10" fillId="0" borderId="6" xfId="1" applyNumberFormat="1" applyFont="1" applyBorder="1"/>
    <xf numFmtId="0" fontId="10" fillId="0" borderId="7" xfId="0" applyFont="1" applyBorder="1" applyAlignment="1">
      <alignment horizontal="left" indent="1"/>
    </xf>
    <xf numFmtId="168" fontId="10" fillId="0" borderId="7" xfId="1" applyNumberFormat="1" applyFont="1" applyBorder="1"/>
    <xf numFmtId="0" fontId="10" fillId="0" borderId="6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168" fontId="11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0" sqref="A20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0</v>
      </c>
    </row>
    <row r="3" spans="1:1" x14ac:dyDescent="0.35">
      <c r="A3" s="7" t="s">
        <v>1</v>
      </c>
    </row>
    <row r="4" spans="1:1" x14ac:dyDescent="0.35">
      <c r="A4" s="16" t="s">
        <v>2</v>
      </c>
    </row>
    <row r="5" spans="1:1" x14ac:dyDescent="0.35">
      <c r="A5" s="7" t="s">
        <v>3</v>
      </c>
    </row>
    <row r="6" spans="1:1" x14ac:dyDescent="0.35">
      <c r="A6" s="1" t="s">
        <v>4</v>
      </c>
    </row>
    <row r="7" spans="1:1" x14ac:dyDescent="0.35">
      <c r="A7" s="1"/>
    </row>
    <row r="8" spans="1:1" x14ac:dyDescent="0.35">
      <c r="A8" s="17" t="s">
        <v>5</v>
      </c>
    </row>
    <row r="9" spans="1:1" x14ac:dyDescent="0.35">
      <c r="A9" s="1" t="s">
        <v>6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/>
    </row>
    <row r="14" spans="1:1" x14ac:dyDescent="0.35">
      <c r="A14" s="17" t="s">
        <v>10</v>
      </c>
    </row>
    <row r="15" spans="1:1" x14ac:dyDescent="0.35">
      <c r="A15" s="1" t="s">
        <v>11</v>
      </c>
    </row>
    <row r="16" spans="1:1" x14ac:dyDescent="0.35">
      <c r="A16" s="1" t="s">
        <v>7</v>
      </c>
    </row>
    <row r="17" spans="1:1" x14ac:dyDescent="0.35">
      <c r="A17" s="1" t="s">
        <v>8</v>
      </c>
    </row>
    <row r="18" spans="1:1" x14ac:dyDescent="0.35">
      <c r="A18" s="1" t="s">
        <v>12</v>
      </c>
    </row>
    <row r="19" spans="1:1" x14ac:dyDescent="0.35">
      <c r="A19" s="1" t="s">
        <v>13</v>
      </c>
    </row>
    <row r="20" spans="1:1" x14ac:dyDescent="0.35">
      <c r="A20" s="1"/>
    </row>
    <row r="21" spans="1:1" x14ac:dyDescent="0.35">
      <c r="A21" s="17" t="s">
        <v>14</v>
      </c>
    </row>
    <row r="22" spans="1:1" x14ac:dyDescent="0.35">
      <c r="A22" s="1" t="s">
        <v>15</v>
      </c>
    </row>
    <row r="23" spans="1:1" x14ac:dyDescent="0.35">
      <c r="A23" s="1" t="s">
        <v>16</v>
      </c>
    </row>
    <row r="24" spans="1:1" x14ac:dyDescent="0.35">
      <c r="A24" s="1" t="s">
        <v>17</v>
      </c>
    </row>
    <row r="25" spans="1:1" x14ac:dyDescent="0.35">
      <c r="A25" s="1"/>
    </row>
    <row r="26" spans="1:1" x14ac:dyDescent="0.35">
      <c r="A26" s="17" t="s">
        <v>18</v>
      </c>
    </row>
    <row r="27" spans="1:1" x14ac:dyDescent="0.35">
      <c r="A27" s="16" t="s">
        <v>19</v>
      </c>
    </row>
    <row r="29" spans="1:1" x14ac:dyDescent="0.35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abSelected="1" workbookViewId="0">
      <selection activeCell="A65" sqref="A65"/>
    </sheetView>
  </sheetViews>
  <sheetFormatPr defaultRowHeight="14.5" x14ac:dyDescent="0.35"/>
  <cols>
    <col min="1" max="1" width="59" customWidth="1"/>
    <col min="2" max="4" width="11.54296875" bestFit="1" customWidth="1"/>
  </cols>
  <sheetData>
    <row r="1" spans="1:10" ht="60" customHeight="1" x14ac:dyDescent="0.35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62" t="s">
        <v>23</v>
      </c>
      <c r="B2" s="62"/>
      <c r="C2" s="62"/>
      <c r="D2" s="62"/>
    </row>
    <row r="3" spans="1:10" x14ac:dyDescent="0.35">
      <c r="B3" s="61" t="s">
        <v>24</v>
      </c>
      <c r="C3" s="61"/>
      <c r="D3" s="61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25</v>
      </c>
    </row>
    <row r="6" spans="1:10" x14ac:dyDescent="0.35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27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29</v>
      </c>
      <c r="B9" s="12"/>
      <c r="C9" s="12"/>
      <c r="D9" s="12"/>
    </row>
    <row r="10" spans="1:10" x14ac:dyDescent="0.35">
      <c r="A10" s="1" t="s">
        <v>26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27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32</v>
      </c>
      <c r="B14" s="12"/>
      <c r="C14" s="12"/>
      <c r="D14" s="12"/>
    </row>
    <row r="15" spans="1:10" x14ac:dyDescent="0.35">
      <c r="A15" s="1" t="s">
        <v>33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34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36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40</v>
      </c>
    </row>
    <row r="24" spans="1:4" x14ac:dyDescent="0.35">
      <c r="A24" s="1" t="s">
        <v>41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42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43</v>
      </c>
    </row>
    <row r="27" spans="1:4" x14ac:dyDescent="0.35">
      <c r="A27" s="1" t="s">
        <v>41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42</v>
      </c>
      <c r="B28" s="2">
        <v>16325819</v>
      </c>
      <c r="C28" s="2">
        <v>16864919</v>
      </c>
      <c r="D28" s="2">
        <v>17528214</v>
      </c>
    </row>
    <row r="31" spans="1:4" x14ac:dyDescent="0.35">
      <c r="A31" s="62" t="s">
        <v>44</v>
      </c>
      <c r="B31" s="62"/>
      <c r="C31" s="62"/>
      <c r="D31" s="62"/>
    </row>
    <row r="32" spans="1:4" x14ac:dyDescent="0.35">
      <c r="B32" s="61" t="s">
        <v>45</v>
      </c>
      <c r="C32" s="61"/>
      <c r="D32" s="61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46</v>
      </c>
    </row>
    <row r="36" spans="1:4" x14ac:dyDescent="0.35">
      <c r="A36" s="1" t="s">
        <v>47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48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49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50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51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52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54</v>
      </c>
      <c r="B43" s="12"/>
      <c r="C43" s="12"/>
      <c r="D43" s="12"/>
    </row>
    <row r="44" spans="1:4" x14ac:dyDescent="0.35">
      <c r="A44" s="1" t="s">
        <v>48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55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56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59</v>
      </c>
    </row>
    <row r="51" spans="1:4" x14ac:dyDescent="0.35">
      <c r="A51" s="1" t="s">
        <v>60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61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62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63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64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66</v>
      </c>
      <c r="B57" s="12"/>
      <c r="C57" s="12"/>
      <c r="D57" s="12"/>
    </row>
    <row r="58" spans="1:4" x14ac:dyDescent="0.35">
      <c r="A58" s="1" t="s">
        <v>62</v>
      </c>
      <c r="B58" s="12"/>
      <c r="C58" s="12"/>
      <c r="D58" s="12"/>
    </row>
    <row r="59" spans="1:4" x14ac:dyDescent="0.35">
      <c r="A59" s="1" t="s">
        <v>64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67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70</v>
      </c>
      <c r="B64" s="12"/>
      <c r="C64" s="12"/>
      <c r="D64" s="12"/>
    </row>
    <row r="65" spans="1:4" x14ac:dyDescent="0.35">
      <c r="A65" s="1" t="s">
        <v>71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72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73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62" t="s">
        <v>76</v>
      </c>
      <c r="B71" s="62"/>
      <c r="C71" s="62"/>
      <c r="D71" s="62"/>
    </row>
    <row r="72" spans="1:4" x14ac:dyDescent="0.35">
      <c r="B72" s="61" t="s">
        <v>24</v>
      </c>
      <c r="C72" s="61"/>
      <c r="D72" s="61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77</v>
      </c>
      <c r="B75" s="15"/>
      <c r="C75" s="15"/>
      <c r="D75" s="15"/>
    </row>
    <row r="76" spans="1:4" x14ac:dyDescent="0.35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39</v>
      </c>
      <c r="B77" s="15"/>
      <c r="C77" s="15"/>
      <c r="D77" s="15"/>
    </row>
    <row r="78" spans="1:4" x14ac:dyDescent="0.35">
      <c r="A78" s="1" t="s">
        <v>79</v>
      </c>
      <c r="B78" s="12"/>
      <c r="C78" s="12"/>
      <c r="D78" s="12"/>
    </row>
    <row r="79" spans="1:4" x14ac:dyDescent="0.35">
      <c r="A79" s="3" t="s">
        <v>80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81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82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83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84</v>
      </c>
      <c r="B83" s="12"/>
      <c r="C83" s="12"/>
      <c r="D83" s="12"/>
    </row>
    <row r="84" spans="1:4" x14ac:dyDescent="0.35">
      <c r="A84" s="1" t="s">
        <v>49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50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51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85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60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62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86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88</v>
      </c>
      <c r="B92" s="12"/>
      <c r="C92" s="12"/>
      <c r="D92" s="12"/>
    </row>
    <row r="93" spans="1:4" x14ac:dyDescent="0.35">
      <c r="A93" s="1" t="s">
        <v>89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90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91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92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93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83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95</v>
      </c>
      <c r="B100" s="12"/>
      <c r="C100" s="12"/>
      <c r="D100" s="12"/>
    </row>
    <row r="101" spans="1:4" x14ac:dyDescent="0.35">
      <c r="A101" s="1" t="s">
        <v>96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97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98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99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100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101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83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105</v>
      </c>
      <c r="B112" s="12"/>
      <c r="C112" s="12"/>
      <c r="D112" s="12"/>
    </row>
    <row r="113" spans="1:4" x14ac:dyDescent="0.35">
      <c r="A113" t="s">
        <v>106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107</v>
      </c>
      <c r="B114" s="12">
        <v>2865</v>
      </c>
      <c r="C114" s="12">
        <v>2687</v>
      </c>
      <c r="D114" s="12">
        <v>3002</v>
      </c>
    </row>
    <row r="116" spans="1:4" x14ac:dyDescent="0.35">
      <c r="A116" s="1" t="s">
        <v>16</v>
      </c>
      <c r="B116" s="37">
        <f>-B96/B8</f>
        <v>2.7155058732831552E-2</v>
      </c>
      <c r="C116" s="37">
        <f t="shared" ref="C116:D116" si="23">-C96/C8</f>
        <v>3.0302036264033657E-2</v>
      </c>
      <c r="D116" s="37">
        <f t="shared" si="23"/>
        <v>2.6625138881299748E-2</v>
      </c>
    </row>
    <row r="117" spans="1:4" x14ac:dyDescent="0.35">
      <c r="A117" s="1" t="s">
        <v>17</v>
      </c>
      <c r="B117" s="37">
        <f>-B96/B47</f>
        <v>4.9266160570508394E-2</v>
      </c>
      <c r="C117" s="37">
        <f t="shared" ref="C117:D117" si="24">-C96/C47</f>
        <v>5.1280034788079534E-2</v>
      </c>
      <c r="D117" s="37">
        <f t="shared" si="24"/>
        <v>4.0566116275842931E-2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1"/>
  <sheetViews>
    <sheetView topLeftCell="A7" workbookViewId="0">
      <selection activeCell="F14" sqref="F14"/>
    </sheetView>
  </sheetViews>
  <sheetFormatPr defaultRowHeight="14.5" x14ac:dyDescent="0.35"/>
  <cols>
    <col min="1" max="1" width="4.54296875" customWidth="1"/>
    <col min="2" max="2" width="44.7265625" customWidth="1"/>
    <col min="3" max="3" width="14.81640625" customWidth="1"/>
    <col min="4" max="4" width="11.7265625" customWidth="1"/>
    <col min="5" max="5" width="12.26953125" customWidth="1"/>
    <col min="6" max="6" width="44.54296875" customWidth="1"/>
  </cols>
  <sheetData>
    <row r="1" spans="1:10" ht="60" customHeight="1" x14ac:dyDescent="0.6">
      <c r="A1" s="6"/>
      <c r="B1" s="20" t="s">
        <v>21</v>
      </c>
      <c r="C1" s="19"/>
      <c r="D1" s="19"/>
      <c r="E1" s="19"/>
      <c r="F1" s="41" t="s">
        <v>108</v>
      </c>
      <c r="G1" s="19"/>
      <c r="H1" s="19"/>
      <c r="I1" s="19"/>
      <c r="J1" s="19"/>
    </row>
    <row r="2" spans="1:10" x14ac:dyDescent="0.35">
      <c r="C2" s="61" t="s">
        <v>24</v>
      </c>
      <c r="D2" s="61"/>
      <c r="E2" s="61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109</v>
      </c>
      <c r="C4" s="23"/>
      <c r="D4" s="23"/>
      <c r="E4" s="23"/>
    </row>
    <row r="5" spans="1:10" x14ac:dyDescent="0.35">
      <c r="A5" s="18">
        <f>+A4+0.1</f>
        <v>1.1000000000000001</v>
      </c>
      <c r="B5" s="1" t="s">
        <v>110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1" t="s">
        <v>111</v>
      </c>
      <c r="C6" s="25">
        <f>('Financial Statements'!B36+'Financial Statements'!B37+'Financial Statements'!B38)/'Financial Statements'!B56</f>
        <v>0.49673338442155579</v>
      </c>
      <c r="D6" s="25">
        <f>('Financial Statements'!C36+'Financial Statements'!C37+'Financial Statements'!C38)/'Financial Statements'!C56</f>
        <v>0.70860927152317876</v>
      </c>
      <c r="E6" s="25">
        <f>('Financial Statements'!D36+'Financial Statements'!D37+'Financial Statements'!D38)/'Financial Statements'!D56</f>
        <v>1.0158550933657204</v>
      </c>
    </row>
    <row r="7" spans="1:10" x14ac:dyDescent="0.35">
      <c r="A7" s="18">
        <f t="shared" si="0"/>
        <v>1.3000000000000003</v>
      </c>
      <c r="B7" s="1" t="s">
        <v>112</v>
      </c>
      <c r="C7" s="25">
        <f>('Financial Statements'!B36+'Financial Statements'!B37)/'Financial Statements'!B56</f>
        <v>0.31369900377966253</v>
      </c>
      <c r="D7" s="25">
        <f>('Financial Statements'!C36+'Financial Statements'!C37)/'Financial Statements'!C56</f>
        <v>0.49919111259872012</v>
      </c>
      <c r="E7" s="25">
        <f>('Financial Statements'!D36+'Financial Statements'!D37)/'Financial Statements'!D56</f>
        <v>0.86290230757552755</v>
      </c>
    </row>
    <row r="8" spans="1:10" x14ac:dyDescent="0.35">
      <c r="A8" s="18">
        <f t="shared" si="0"/>
        <v>1.4000000000000004</v>
      </c>
      <c r="B8" s="1" t="s">
        <v>113</v>
      </c>
      <c r="C8" s="42">
        <f>'Financial Statements'!B42/(('Financial Statements'!B17-'Financial Statements'!B79)/365)</f>
        <v>1228.1708953554833</v>
      </c>
      <c r="D8" s="42">
        <f>'Financial Statements'!C42/(('Financial Statements'!C17-'Financial Statements'!C79)/365)</f>
        <v>1509.5279575499187</v>
      </c>
      <c r="E8" s="42">
        <f>'Financial Statements'!D42/(('Financial Statements'!D17-'Financial Statements'!D79)/365)</f>
        <v>1899.7263870780819</v>
      </c>
      <c r="F8" t="s">
        <v>114</v>
      </c>
    </row>
    <row r="9" spans="1:10" x14ac:dyDescent="0.35">
      <c r="A9" s="18">
        <f t="shared" si="0"/>
        <v>1.5000000000000004</v>
      </c>
      <c r="B9" s="1" t="s">
        <v>115</v>
      </c>
      <c r="C9" s="18">
        <f>365/C36</f>
        <v>8.0756980666171607</v>
      </c>
      <c r="D9" s="18">
        <f t="shared" ref="D9:E9" si="1">365/D36</f>
        <v>11.27659274770989</v>
      </c>
      <c r="E9" s="18">
        <f t="shared" si="1"/>
        <v>8.7418833562358813</v>
      </c>
    </row>
    <row r="10" spans="1:10" x14ac:dyDescent="0.35">
      <c r="A10" s="18">
        <f t="shared" si="0"/>
        <v>1.6000000000000005</v>
      </c>
      <c r="B10" s="1" t="s">
        <v>116</v>
      </c>
      <c r="C10" s="18">
        <f>'Financial Statements'!B51/'Financial Statements'!B12*365</f>
        <v>104.68527730310539</v>
      </c>
      <c r="D10" s="18">
        <f>'Financial Statements'!C51/'Financial Statements'!C12*365</f>
        <v>93.851071222315596</v>
      </c>
      <c r="E10" s="18">
        <f>'Financial Statements'!D51/'Financial Statements'!D12*365</f>
        <v>91.048189715674198</v>
      </c>
      <c r="F10" t="s">
        <v>117</v>
      </c>
    </row>
    <row r="11" spans="1:10" x14ac:dyDescent="0.35">
      <c r="A11" s="18">
        <f t="shared" si="0"/>
        <v>1.7000000000000006</v>
      </c>
      <c r="B11" s="1" t="s">
        <v>118</v>
      </c>
      <c r="C11" s="18">
        <f>'Financial Statements'!B38/'Financial Statements'!B8*365</f>
        <v>26.087825363656648</v>
      </c>
      <c r="D11" s="18">
        <f>'Financial Statements'!C38/'Financial Statements'!C8*365</f>
        <v>26.219311841713207</v>
      </c>
      <c r="E11" s="18">
        <f>'Financial Statements'!D38/'Financial Statements'!D8*365</f>
        <v>21.433437152796749</v>
      </c>
    </row>
    <row r="12" spans="1:10" x14ac:dyDescent="0.35">
      <c r="A12" s="18">
        <f t="shared" si="0"/>
        <v>1.8000000000000007</v>
      </c>
      <c r="B12" s="1" t="s">
        <v>119</v>
      </c>
      <c r="C12" s="18">
        <f>C9+C11-C10</f>
        <v>-70.521753872831582</v>
      </c>
      <c r="D12" s="18">
        <f t="shared" ref="D12:E12" si="2">D9+D11-D10</f>
        <v>-56.355166632892498</v>
      </c>
      <c r="E12" s="18">
        <f t="shared" si="2"/>
        <v>-60.872869206641568</v>
      </c>
    </row>
    <row r="13" spans="1:10" x14ac:dyDescent="0.35">
      <c r="A13" s="18">
        <f t="shared" si="0"/>
        <v>1.9000000000000008</v>
      </c>
      <c r="B13" s="1" t="s">
        <v>120</v>
      </c>
      <c r="C13" s="26">
        <f>(C14/'Financial Statements'!B8)*100</f>
        <v>-4.7110527276784806</v>
      </c>
      <c r="D13" s="26">
        <f>(D14/'Financial Statements'!C8)*100</f>
        <v>2.5572895737486232</v>
      </c>
      <c r="E13" s="26">
        <f>(E14/'Financial Statements'!D8)*100</f>
        <v>13.959528623208204</v>
      </c>
    </row>
    <row r="14" spans="1:10" x14ac:dyDescent="0.35">
      <c r="A14" s="18"/>
      <c r="B14" s="3" t="s">
        <v>121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122</v>
      </c>
    </row>
    <row r="17" spans="1:6" x14ac:dyDescent="0.35">
      <c r="A17" s="18">
        <f>+A16+0.1</f>
        <v>2.1</v>
      </c>
      <c r="B17" s="1" t="s">
        <v>31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</row>
    <row r="18" spans="1:6" x14ac:dyDescent="0.35">
      <c r="A18" s="18">
        <f>+A17+0.1</f>
        <v>2.2000000000000002</v>
      </c>
      <c r="B18" s="1" t="s">
        <v>123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6" x14ac:dyDescent="0.35">
      <c r="A19" s="18"/>
      <c r="B19" s="3" t="s">
        <v>124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  <c r="F19" t="s">
        <v>125</v>
      </c>
    </row>
    <row r="20" spans="1:6" x14ac:dyDescent="0.35">
      <c r="A20" s="18">
        <f>+A18+0.1</f>
        <v>2.3000000000000003</v>
      </c>
      <c r="B20" s="1" t="s">
        <v>126</v>
      </c>
      <c r="C20" s="27">
        <f>C21/'Financial Statements'!B8</f>
        <v>0.30288744395528594</v>
      </c>
      <c r="D20" s="27">
        <f>D21/'Financial Statements'!C8</f>
        <v>0.29782377527561593</v>
      </c>
      <c r="E20" s="27">
        <f>E21/'Financial Statements'!D8</f>
        <v>0.24147314354406862</v>
      </c>
    </row>
    <row r="21" spans="1:6" x14ac:dyDescent="0.35">
      <c r="A21" s="18"/>
      <c r="B21" s="3" t="s">
        <v>127</v>
      </c>
      <c r="C21" s="24">
        <f>'Financial Statements'!B18</f>
        <v>119437</v>
      </c>
      <c r="D21" s="24">
        <f>'Financial Statements'!C18</f>
        <v>108949</v>
      </c>
      <c r="E21" s="24">
        <f>'Financial Statements'!D18</f>
        <v>66288</v>
      </c>
      <c r="F21" t="s">
        <v>12</v>
      </c>
    </row>
    <row r="22" spans="1:6" x14ac:dyDescent="0.35">
      <c r="A22" s="18">
        <f>+A20+0.1</f>
        <v>2.4000000000000004</v>
      </c>
      <c r="B22" s="1" t="s">
        <v>128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6" x14ac:dyDescent="0.35">
      <c r="A23" s="18"/>
    </row>
    <row r="24" spans="1:6" x14ac:dyDescent="0.35">
      <c r="A24" s="18">
        <f>+A16+1</f>
        <v>3</v>
      </c>
      <c r="B24" s="7" t="s">
        <v>129</v>
      </c>
    </row>
    <row r="25" spans="1:6" x14ac:dyDescent="0.35">
      <c r="A25" s="18">
        <f>+A24+0.1</f>
        <v>3.1</v>
      </c>
      <c r="B25" s="1" t="s">
        <v>130</v>
      </c>
      <c r="C25" s="25">
        <f>'Financial Statements'!B59/'Financial Statements'!B68</f>
        <v>1.9529325860435744</v>
      </c>
      <c r="D25" s="25">
        <f>'Financial Statements'!C59/'Financial Statements'!C68</f>
        <v>1.729370740212395</v>
      </c>
      <c r="E25" s="25">
        <f>'Financial Statements'!D59/'Financial Statements'!D68</f>
        <v>1.5100782075024104</v>
      </c>
      <c r="F25" t="s">
        <v>131</v>
      </c>
    </row>
    <row r="26" spans="1:6" x14ac:dyDescent="0.35">
      <c r="A26" s="18">
        <f t="shared" ref="A26:A30" si="3">+A25+0.1</f>
        <v>3.2</v>
      </c>
      <c r="B26" s="1" t="s">
        <v>132</v>
      </c>
      <c r="C26" s="30">
        <f>'Financial Statements'!B59/'Financial Statements'!B48</f>
        <v>0.28053181386514719</v>
      </c>
      <c r="D26" s="30">
        <f>'Financial Statements'!C59/'Financial Statements'!C48</f>
        <v>0.31084153366647482</v>
      </c>
      <c r="E26" s="30">
        <f>'Financial Statements'!D59/'Financial Statements'!D48</f>
        <v>0.30463308304105124</v>
      </c>
      <c r="F26" t="s">
        <v>133</v>
      </c>
    </row>
    <row r="27" spans="1:6" x14ac:dyDescent="0.35">
      <c r="A27" s="18">
        <f t="shared" si="3"/>
        <v>3.3000000000000003</v>
      </c>
      <c r="B27" s="1" t="s">
        <v>134</v>
      </c>
      <c r="C27" s="30">
        <f>'Financial Statements'!B59/('Financial Statements'!B59+'Financial Statements'!B68)</f>
        <v>0.66135359651409131</v>
      </c>
      <c r="D27" s="30">
        <f>'Financial Statements'!C59/('Financial Statements'!C59+'Financial Statements'!C68)</f>
        <v>0.63361518269878514</v>
      </c>
      <c r="E27" s="30">
        <f>'Financial Statements'!D59/('Financial Statements'!D59+'Financial Statements'!D68)</f>
        <v>0.60160603880345842</v>
      </c>
      <c r="F27" t="s">
        <v>135</v>
      </c>
    </row>
    <row r="28" spans="1:6" x14ac:dyDescent="0.35">
      <c r="A28" s="18">
        <f t="shared" si="3"/>
        <v>3.4000000000000004</v>
      </c>
      <c r="B28" s="1" t="s">
        <v>136</v>
      </c>
      <c r="C28" s="28">
        <f>C21/'Financial Statements'!B114</f>
        <v>41.68830715532286</v>
      </c>
      <c r="D28" s="28">
        <f>D21/'Financial Statements'!C114</f>
        <v>40.546706363974693</v>
      </c>
      <c r="E28" s="28">
        <f>E21/'Financial Statements'!D114</f>
        <v>22.081279147235175</v>
      </c>
    </row>
    <row r="29" spans="1:6" x14ac:dyDescent="0.35">
      <c r="A29" s="18">
        <f t="shared" si="3"/>
        <v>3.5000000000000004</v>
      </c>
      <c r="B29" s="1" t="s">
        <v>137</v>
      </c>
      <c r="C29" s="28">
        <f>'Financial Statements'!B18/('Financial Statements'!B59+'Financial Statements'!B114)</f>
        <v>1.1729749371464488</v>
      </c>
      <c r="D29" s="28">
        <f>'Financial Statements'!C18/('Financial Statements'!C59+'Financial Statements'!C114)</f>
        <v>0.97456012451584628</v>
      </c>
      <c r="E29" s="28">
        <f>'Financial Statements'!D18/('Financial Statements'!D59+'Financial Statements'!D114)</f>
        <v>0.65199815086211133</v>
      </c>
      <c r="F29" t="s">
        <v>138</v>
      </c>
    </row>
    <row r="30" spans="1:6" x14ac:dyDescent="0.35">
      <c r="A30" s="18">
        <f t="shared" si="3"/>
        <v>3.6000000000000005</v>
      </c>
      <c r="B30" s="1" t="s">
        <v>139</v>
      </c>
      <c r="C30" s="25">
        <f>C31*1000/'Financial Statements'!B27</f>
        <v>6.6209450527236653</v>
      </c>
      <c r="D30" s="25">
        <f>D31*1000/'Financial Statements'!C27</f>
        <v>6.2627565133961056</v>
      </c>
      <c r="E30" s="25">
        <f>E31*1000/'Financial Statements'!D27</f>
        <v>4.4275284188634254</v>
      </c>
    </row>
    <row r="31" spans="1:6" x14ac:dyDescent="0.35">
      <c r="A31" s="18"/>
      <c r="B31" s="3" t="s">
        <v>140</v>
      </c>
      <c r="C31" s="31">
        <f>'Financial Statements'!B91+'Financial Statements'!B96+('Financial Statements'!B104+'Financial Statements'!B105)</f>
        <v>107365</v>
      </c>
      <c r="D31" s="31">
        <f>'Financial Statements'!C91+'Financial Statements'!C96+('Financial Statements'!C104+'Financial Statements'!C105)</f>
        <v>104596</v>
      </c>
      <c r="E31" s="31">
        <f>'Financial Statements'!D91+'Financial Statements'!D96+('Financial Statements'!D104+'Financial Statements'!D105)</f>
        <v>76827</v>
      </c>
    </row>
    <row r="32" spans="1:6" x14ac:dyDescent="0.35">
      <c r="A32" s="18"/>
    </row>
    <row r="33" spans="1:6" x14ac:dyDescent="0.35">
      <c r="A33" s="18">
        <f>+A24+1</f>
        <v>4</v>
      </c>
      <c r="B33" s="17" t="s">
        <v>141</v>
      </c>
    </row>
    <row r="34" spans="1:6" x14ac:dyDescent="0.35">
      <c r="A34" s="18">
        <f>+A33+0.1</f>
        <v>4.0999999999999996</v>
      </c>
      <c r="B34" s="1" t="s">
        <v>142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</row>
    <row r="35" spans="1:6" x14ac:dyDescent="0.35">
      <c r="A35" s="18">
        <f t="shared" ref="A35:A37" si="4">+A34+0.1</f>
        <v>4.1999999999999993</v>
      </c>
      <c r="B35" s="1" t="s">
        <v>143</v>
      </c>
      <c r="C35" s="25">
        <f>'Financial Statements'!B8/'Financial Statements'!B47</f>
        <v>1.8142535081665516</v>
      </c>
      <c r="D35" s="25">
        <f>'Financial Statements'!C8/'Financial Statements'!C47</f>
        <v>1.6922966608994938</v>
      </c>
      <c r="E35" s="25">
        <f>'Financial Statements'!D8/'Financial Statements'!D47</f>
        <v>1.5236020535590398</v>
      </c>
    </row>
    <row r="36" spans="1:6" x14ac:dyDescent="0.35">
      <c r="A36" s="18">
        <f t="shared" si="4"/>
        <v>4.2999999999999989</v>
      </c>
      <c r="B36" s="1" t="s">
        <v>144</v>
      </c>
      <c r="C36" s="25">
        <f>'Financial Statements'!B12/'Financial Statements'!B39</f>
        <v>45.197331176708452</v>
      </c>
      <c r="D36" s="25">
        <f>'Financial Statements'!C12/'Financial Statements'!C39</f>
        <v>32.367933130699086</v>
      </c>
      <c r="E36" s="25">
        <f>'Financial Statements'!D12/'Financial Statements'!D39</f>
        <v>41.753016498399411</v>
      </c>
    </row>
    <row r="37" spans="1:6" x14ac:dyDescent="0.35">
      <c r="A37" s="18">
        <f t="shared" si="4"/>
        <v>4.3999999999999986</v>
      </c>
      <c r="B37" s="1" t="s">
        <v>145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6" x14ac:dyDescent="0.35">
      <c r="A38" s="18"/>
    </row>
    <row r="39" spans="1:6" x14ac:dyDescent="0.35">
      <c r="A39" s="18">
        <f>+A33+1</f>
        <v>5</v>
      </c>
      <c r="B39" s="17" t="s">
        <v>146</v>
      </c>
    </row>
    <row r="40" spans="1:6" x14ac:dyDescent="0.35">
      <c r="A40" s="18">
        <f>+A39+0.1</f>
        <v>5.0999999999999996</v>
      </c>
      <c r="B40" s="1" t="s">
        <v>147</v>
      </c>
      <c r="C40" s="25">
        <f>181.99/C41</f>
        <v>29.770004907768303</v>
      </c>
      <c r="D40" s="25">
        <f t="shared" ref="D40:E40" si="5">181.99/D41</f>
        <v>32.417053324989439</v>
      </c>
      <c r="E40" s="25">
        <f t="shared" si="5"/>
        <v>55.563562137221091</v>
      </c>
    </row>
    <row r="41" spans="1:6" x14ac:dyDescent="0.35">
      <c r="A41" s="18">
        <f t="shared" ref="A41:A44" si="6">+A40+0.1</f>
        <v>5.1999999999999993</v>
      </c>
      <c r="B41" s="3" t="s">
        <v>148</v>
      </c>
      <c r="C41" s="25">
        <f>('Financial Statements'!B22*1000)/'Financial Statements'!B28</f>
        <v>6.1132002014722815</v>
      </c>
      <c r="D41" s="25">
        <f>('Financial Statements'!C22*1000)/'Financial Statements'!C28</f>
        <v>5.6140204408927197</v>
      </c>
      <c r="E41" s="25">
        <f>('Financial Statements'!D22*1000)/'Financial Statements'!D28</f>
        <v>3.2753479618630856</v>
      </c>
      <c r="F41" t="s">
        <v>149</v>
      </c>
    </row>
    <row r="42" spans="1:6" x14ac:dyDescent="0.35">
      <c r="A42" s="18">
        <f t="shared" si="6"/>
        <v>5.2999999999999989</v>
      </c>
      <c r="B42" s="1" t="s">
        <v>150</v>
      </c>
      <c r="C42" s="25">
        <f>181.99/C43</f>
        <v>58.634666084030634</v>
      </c>
      <c r="D42" s="25">
        <f t="shared" ref="D42:E42" si="7">181.99/D43</f>
        <v>48.648701994135365</v>
      </c>
      <c r="E42" s="25">
        <f t="shared" si="7"/>
        <v>48.821678719600854</v>
      </c>
    </row>
    <row r="43" spans="1:6" x14ac:dyDescent="0.35">
      <c r="A43" s="18">
        <f t="shared" si="6"/>
        <v>5.3999999999999986</v>
      </c>
      <c r="B43" s="3" t="s">
        <v>151</v>
      </c>
      <c r="C43" s="25">
        <f>('Financial Statements'!B68*1000)/'Financial Statements'!B28</f>
        <v>3.1037952827971447</v>
      </c>
      <c r="D43" s="25">
        <f>('Financial Statements'!C68*1000)/'Financial Statements'!C28</f>
        <v>3.740901453484597</v>
      </c>
      <c r="E43" s="25">
        <f>('Financial Statements'!D68*1000)/'Financial Statements'!D28</f>
        <v>3.7276473233382479</v>
      </c>
      <c r="F43" t="s">
        <v>152</v>
      </c>
    </row>
    <row r="44" spans="1:6" x14ac:dyDescent="0.35">
      <c r="A44" s="18">
        <f t="shared" si="6"/>
        <v>5.4999999999999982</v>
      </c>
      <c r="B44" s="1" t="s">
        <v>153</v>
      </c>
      <c r="C44" s="30">
        <f>-'Financial Statements'!B102/'Financial Statements'!B22</f>
        <v>0.14870294480125848</v>
      </c>
      <c r="D44" s="30">
        <f>-'Financial Statements'!C102/'Financial Statements'!C22</f>
        <v>0.15279890156316012</v>
      </c>
      <c r="E44" s="30">
        <f>-'Financial Statements'!D102/'Financial Statements'!D22</f>
        <v>0.24526658654264863</v>
      </c>
    </row>
    <row r="45" spans="1:6" x14ac:dyDescent="0.35">
      <c r="A45" s="18"/>
      <c r="B45" s="3" t="s">
        <v>154</v>
      </c>
      <c r="C45" s="25">
        <f>(-'Financial Statements'!B102*1000)/'Financial Statements'!B28</f>
        <v>0.90905087211857483</v>
      </c>
      <c r="D45" s="25">
        <f>(-'Financial Statements'!C102*1000)/'Financial Statements'!C28</f>
        <v>0.85781615672153544</v>
      </c>
      <c r="E45" s="25">
        <f>(-'Financial Statements'!D102*1000)/'Financial Statements'!D28</f>
        <v>0.80333341434558025</v>
      </c>
      <c r="F45" t="s">
        <v>152</v>
      </c>
    </row>
    <row r="46" spans="1:6" x14ac:dyDescent="0.35">
      <c r="A46" s="18">
        <f>+A44+0.1</f>
        <v>5.5999999999999979</v>
      </c>
      <c r="B46" s="1" t="s">
        <v>155</v>
      </c>
      <c r="C46" s="30">
        <f>C45/181.99</f>
        <v>4.9950594654573043E-3</v>
      </c>
      <c r="D46" s="30">
        <f t="shared" ref="D46:E46" si="8">D45/181.99</f>
        <v>4.7135345717980951E-3</v>
      </c>
      <c r="E46" s="30">
        <f t="shared" si="8"/>
        <v>4.4141623954370036E-3</v>
      </c>
    </row>
    <row r="47" spans="1:6" x14ac:dyDescent="0.35">
      <c r="A47" s="18">
        <f t="shared" ref="A47:A50" si="9">+A45+0.1</f>
        <v>0.1</v>
      </c>
      <c r="B47" s="1" t="s">
        <v>156</v>
      </c>
      <c r="C47" s="30">
        <f>'Financial Statements'!B22/'Financial Statements'!B68</f>
        <v>1.9695887275023682</v>
      </c>
      <c r="D47" s="30">
        <f>'Financial Statements'!C22/'Financial Statements'!C68</f>
        <v>1.5007132667617689</v>
      </c>
      <c r="E47" s="30">
        <f>'Financial Statements'!D22/'Financial Statements'!D68</f>
        <v>0.87866358530127486</v>
      </c>
    </row>
    <row r="48" spans="1:6" x14ac:dyDescent="0.35">
      <c r="A48" s="18">
        <f t="shared" si="9"/>
        <v>5.6999999999999975</v>
      </c>
      <c r="B48" s="1" t="s">
        <v>157</v>
      </c>
      <c r="C48" s="30">
        <f>C21/('Financial Statements'!B59+'Financial Statements'!B68)</f>
        <v>0.79821026391589978</v>
      </c>
      <c r="D48" s="30">
        <f>D21/('Financial Statements'!C59+'Financial Statements'!C68)</f>
        <v>0.63270343097400639</v>
      </c>
      <c r="E48" s="30">
        <f>E21/('Financial Statements'!D59+'Financial Statements'!D68)</f>
        <v>0.40418033486579757</v>
      </c>
      <c r="F48" t="s">
        <v>158</v>
      </c>
    </row>
    <row r="49" spans="1:6" x14ac:dyDescent="0.35">
      <c r="A49" s="18">
        <f t="shared" si="9"/>
        <v>0.2</v>
      </c>
      <c r="B49" s="1" t="s">
        <v>145</v>
      </c>
      <c r="C49" s="30">
        <f>'Financial Statements'!B22/'Financial Statements'!B48</f>
        <v>0.28292440929256851</v>
      </c>
      <c r="D49" s="30">
        <f>'Financial Statements'!C22/'Financial Statements'!C48</f>
        <v>0.26974205275183616</v>
      </c>
      <c r="E49" s="30">
        <f>'Financial Statements'!D22/'Financial Statements'!D48</f>
        <v>0.1772557180259843</v>
      </c>
    </row>
    <row r="50" spans="1:6" x14ac:dyDescent="0.35">
      <c r="A50" s="18">
        <f t="shared" si="9"/>
        <v>5.7999999999999972</v>
      </c>
      <c r="B50" s="1" t="s">
        <v>159</v>
      </c>
      <c r="C50" s="29">
        <f>C51/C19</f>
        <v>7.205957531656721</v>
      </c>
    </row>
    <row r="51" spans="1:6" x14ac:dyDescent="0.35">
      <c r="A51" s="18"/>
      <c r="B51" s="3" t="s">
        <v>160</v>
      </c>
      <c r="C51" s="31">
        <f>(4754986*1000*181.99/1000000)+'Financial Statements'!B59-'Financial Statements'!B36</f>
        <v>940672.90214000002</v>
      </c>
      <c r="D51" s="31"/>
      <c r="E51" s="31"/>
      <c r="F51" t="s">
        <v>161</v>
      </c>
    </row>
    <row r="54" spans="1:6" x14ac:dyDescent="0.35">
      <c r="C54" s="43"/>
    </row>
    <row r="141" spans="2:2" x14ac:dyDescent="0.35">
      <c r="B141">
        <f>'List of Ratios'!D59</f>
        <v>0</v>
      </c>
    </row>
  </sheetData>
  <mergeCells count="1">
    <mergeCell ref="C2:E2"/>
  </mergeCells>
  <pageMargins left="0.7" right="0.7" top="0.75" bottom="0.75" header="0.3" footer="0.3"/>
  <pageSetup orientation="portrait" r:id="rId1"/>
  <ignoredErrors>
    <ignoredError sqref="C41:E41 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2"/>
  <sheetViews>
    <sheetView workbookViewId="0">
      <selection activeCell="B143" sqref="B143"/>
    </sheetView>
  </sheetViews>
  <sheetFormatPr defaultRowHeight="14.5" x14ac:dyDescent="0.35"/>
  <cols>
    <col min="1" max="1" width="59" customWidth="1"/>
    <col min="2" max="2" width="12.26953125" customWidth="1"/>
    <col min="3" max="4" width="11.26953125" bestFit="1" customWidth="1"/>
  </cols>
  <sheetData>
    <row r="1" spans="1:10" ht="26" x14ac:dyDescent="0.35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62" t="s">
        <v>23</v>
      </c>
      <c r="B2" s="62"/>
      <c r="C2" s="62"/>
      <c r="D2" s="62"/>
    </row>
    <row r="3" spans="1:10" x14ac:dyDescent="0.35">
      <c r="B3" s="61" t="s">
        <v>24</v>
      </c>
      <c r="C3" s="61"/>
      <c r="D3" s="61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25</v>
      </c>
    </row>
    <row r="6" spans="1:10" x14ac:dyDescent="0.35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5">
      <c r="A7" s="44" t="s">
        <v>162</v>
      </c>
      <c r="B7" s="45">
        <f>B6/C6-1</f>
        <v>6.3239764351428418E-2</v>
      </c>
      <c r="C7" s="45">
        <f>C6/D6-1</f>
        <v>0.34720743656765429</v>
      </c>
      <c r="D7" s="12"/>
    </row>
    <row r="8" spans="1:10" x14ac:dyDescent="0.35">
      <c r="A8" s="1" t="s">
        <v>27</v>
      </c>
      <c r="B8" s="12">
        <v>78129</v>
      </c>
      <c r="C8" s="12">
        <v>68425</v>
      </c>
      <c r="D8" s="12">
        <v>53768</v>
      </c>
    </row>
    <row r="9" spans="1:10" x14ac:dyDescent="0.35">
      <c r="A9" s="44" t="s">
        <v>162</v>
      </c>
      <c r="B9" s="46">
        <f>B8/C8-1</f>
        <v>0.14181951041286078</v>
      </c>
      <c r="C9" s="46">
        <f>C8/D8-1</f>
        <v>0.27259708376729663</v>
      </c>
      <c r="D9" s="12"/>
    </row>
    <row r="10" spans="1:10" x14ac:dyDescent="0.35">
      <c r="A10" s="8" t="s">
        <v>28</v>
      </c>
      <c r="B10" s="13">
        <f>+B6+B8</f>
        <v>394328</v>
      </c>
      <c r="C10" s="13">
        <f>+C6+C8</f>
        <v>365817</v>
      </c>
      <c r="D10" s="13">
        <f>+D6+D8</f>
        <v>274515</v>
      </c>
    </row>
    <row r="11" spans="1:10" x14ac:dyDescent="0.35">
      <c r="A11" s="47" t="s">
        <v>163</v>
      </c>
      <c r="B11" s="48">
        <f>B10/C10-1</f>
        <v>7.7937876041846099E-2</v>
      </c>
      <c r="C11" s="48">
        <f>C10/D10-1</f>
        <v>0.33259384733074704</v>
      </c>
      <c r="D11" s="35"/>
    </row>
    <row r="12" spans="1:10" x14ac:dyDescent="0.35">
      <c r="A12" t="s">
        <v>29</v>
      </c>
      <c r="B12" s="12"/>
      <c r="C12" s="12"/>
      <c r="D12" s="12"/>
    </row>
    <row r="13" spans="1:10" x14ac:dyDescent="0.35">
      <c r="A13" s="1" t="s">
        <v>26</v>
      </c>
      <c r="B13" s="12">
        <v>201471</v>
      </c>
      <c r="C13" s="12">
        <v>192266</v>
      </c>
      <c r="D13" s="12">
        <v>151286</v>
      </c>
    </row>
    <row r="14" spans="1:10" x14ac:dyDescent="0.35">
      <c r="A14" s="1" t="s">
        <v>27</v>
      </c>
      <c r="B14" s="12">
        <v>22075</v>
      </c>
      <c r="C14" s="12">
        <v>20715</v>
      </c>
      <c r="D14" s="12">
        <v>18273</v>
      </c>
    </row>
    <row r="15" spans="1:10" x14ac:dyDescent="0.35">
      <c r="A15" s="33" t="s">
        <v>30</v>
      </c>
      <c r="B15" s="34">
        <f>+B13+B14</f>
        <v>223546</v>
      </c>
      <c r="C15" s="34">
        <f t="shared" ref="C15:D15" si="0">+C13+C14</f>
        <v>212981</v>
      </c>
      <c r="D15" s="34">
        <f t="shared" si="0"/>
        <v>169559</v>
      </c>
    </row>
    <row r="16" spans="1:10" x14ac:dyDescent="0.35">
      <c r="A16" s="49" t="s">
        <v>164</v>
      </c>
      <c r="B16" s="48">
        <f>B15/B10</f>
        <v>0.56690369438639909</v>
      </c>
      <c r="C16" s="48">
        <f>C15/C10</f>
        <v>0.58220640374832222</v>
      </c>
      <c r="D16" s="48">
        <f>D15/D10</f>
        <v>0.61766752272189129</v>
      </c>
    </row>
    <row r="17" spans="1:11" x14ac:dyDescent="0.35">
      <c r="A17" s="7" t="s">
        <v>31</v>
      </c>
      <c r="B17" s="32">
        <f>+B10-B15</f>
        <v>170782</v>
      </c>
      <c r="C17" s="32">
        <f t="shared" ref="C17:D17" si="1">+C10-C15</f>
        <v>152836</v>
      </c>
      <c r="D17" s="32">
        <f t="shared" si="1"/>
        <v>104956</v>
      </c>
    </row>
    <row r="18" spans="1:11" x14ac:dyDescent="0.35">
      <c r="A18" s="44" t="s">
        <v>165</v>
      </c>
      <c r="B18" s="50">
        <f>B17/C17-1</f>
        <v>0.1174199795859614</v>
      </c>
      <c r="C18" s="50">
        <f>C17/D17-1</f>
        <v>0.45619116582186825</v>
      </c>
      <c r="D18" s="32"/>
    </row>
    <row r="19" spans="1:11" x14ac:dyDescent="0.35">
      <c r="A19" s="49" t="s">
        <v>166</v>
      </c>
      <c r="B19" s="48">
        <f>B17/B10</f>
        <v>0.43309630561360085</v>
      </c>
      <c r="C19" s="48">
        <f>C17/C10</f>
        <v>0.41779359625167778</v>
      </c>
      <c r="D19" s="48">
        <f>D17/D10</f>
        <v>0.38233247727810865</v>
      </c>
    </row>
    <row r="20" spans="1:11" x14ac:dyDescent="0.35">
      <c r="A20" t="s">
        <v>32</v>
      </c>
      <c r="B20" s="12"/>
      <c r="C20" s="12"/>
      <c r="D20" s="12"/>
    </row>
    <row r="21" spans="1:11" x14ac:dyDescent="0.35">
      <c r="A21" s="1" t="s">
        <v>33</v>
      </c>
      <c r="B21" s="12">
        <v>26251</v>
      </c>
      <c r="C21" s="12">
        <v>21914</v>
      </c>
      <c r="D21" s="12">
        <v>18752</v>
      </c>
    </row>
    <row r="22" spans="1:11" x14ac:dyDescent="0.35">
      <c r="A22" s="44" t="s">
        <v>162</v>
      </c>
      <c r="B22" s="45">
        <f t="shared" ref="B22:C22" si="2">B21/C21-1</f>
        <v>0.19791001186456136</v>
      </c>
      <c r="C22" s="45">
        <f t="shared" si="2"/>
        <v>0.16862201365187723</v>
      </c>
      <c r="D22" s="12"/>
    </row>
    <row r="23" spans="1:11" x14ac:dyDescent="0.35">
      <c r="A23" s="51" t="s">
        <v>167</v>
      </c>
      <c r="B23" s="50">
        <f>B21/B10</f>
        <v>6.657148363798665E-2</v>
      </c>
      <c r="C23" s="50">
        <f>C21/C10</f>
        <v>5.9904269074427925E-2</v>
      </c>
      <c r="D23" s="50">
        <f>D21/D10</f>
        <v>6.8309564140393061E-2</v>
      </c>
    </row>
    <row r="24" spans="1:11" x14ac:dyDescent="0.35">
      <c r="A24" s="1" t="s">
        <v>34</v>
      </c>
      <c r="B24" s="12">
        <v>25094</v>
      </c>
      <c r="C24" s="12">
        <v>21973</v>
      </c>
      <c r="D24" s="12">
        <v>19916</v>
      </c>
    </row>
    <row r="25" spans="1:11" x14ac:dyDescent="0.35">
      <c r="A25" s="44" t="s">
        <v>162</v>
      </c>
      <c r="B25" s="45">
        <f t="shared" ref="B25:C25" si="3">B24/C24-1</f>
        <v>0.14203795567287125</v>
      </c>
      <c r="C25" s="45">
        <f t="shared" si="3"/>
        <v>0.10328379192608961</v>
      </c>
      <c r="D25" s="12"/>
    </row>
    <row r="26" spans="1:11" x14ac:dyDescent="0.35">
      <c r="A26" s="51" t="s">
        <v>168</v>
      </c>
      <c r="B26" s="50">
        <f>B24/B10</f>
        <v>6.3637378020328261E-2</v>
      </c>
      <c r="C26" s="50">
        <f t="shared" ref="C26:D26" si="4">C24/C10</f>
        <v>6.006555190163388E-2</v>
      </c>
      <c r="D26" s="50">
        <f t="shared" si="4"/>
        <v>7.2549769593646979E-2</v>
      </c>
    </row>
    <row r="27" spans="1:11" x14ac:dyDescent="0.35">
      <c r="A27" s="8" t="s">
        <v>35</v>
      </c>
      <c r="B27" s="13">
        <f>+B21+B24</f>
        <v>51345</v>
      </c>
      <c r="C27" s="13">
        <f t="shared" ref="C27:D27" si="5">+C21+C24</f>
        <v>43887</v>
      </c>
      <c r="D27" s="13">
        <f t="shared" si="5"/>
        <v>38668</v>
      </c>
    </row>
    <row r="28" spans="1:11" x14ac:dyDescent="0.35">
      <c r="A28" s="8" t="s">
        <v>12</v>
      </c>
      <c r="B28" s="13">
        <f>+B17-B27</f>
        <v>119437</v>
      </c>
      <c r="C28" s="13">
        <f t="shared" ref="C28:D28" si="6">+C17-C27</f>
        <v>108949</v>
      </c>
      <c r="D28" s="13">
        <f t="shared" si="6"/>
        <v>66288</v>
      </c>
      <c r="E28" s="7"/>
      <c r="F28" s="7"/>
      <c r="G28" s="7"/>
      <c r="H28" s="7"/>
      <c r="I28" s="7"/>
      <c r="J28" s="7"/>
      <c r="K28" s="7"/>
    </row>
    <row r="29" spans="1:11" x14ac:dyDescent="0.35">
      <c r="A29" s="51" t="s">
        <v>169</v>
      </c>
      <c r="B29" s="50">
        <f>B28/B10</f>
        <v>0.30288744395528594</v>
      </c>
      <c r="C29" s="50">
        <f t="shared" ref="C29:D29" si="7">C28/C10</f>
        <v>0.29782377527561593</v>
      </c>
      <c r="D29" s="50">
        <f t="shared" si="7"/>
        <v>0.24147314354406862</v>
      </c>
      <c r="E29" s="7"/>
      <c r="F29" s="7"/>
      <c r="G29" s="7"/>
      <c r="H29" s="7"/>
      <c r="I29" s="7"/>
      <c r="J29" s="7"/>
      <c r="K29" s="7"/>
    </row>
    <row r="30" spans="1:11" x14ac:dyDescent="0.35">
      <c r="A30" s="52" t="s">
        <v>36</v>
      </c>
      <c r="B30" s="53">
        <v>-334</v>
      </c>
      <c r="C30" s="53">
        <v>258</v>
      </c>
      <c r="D30" s="53">
        <v>803</v>
      </c>
    </row>
    <row r="31" spans="1:11" x14ac:dyDescent="0.35">
      <c r="A31" s="8" t="s">
        <v>37</v>
      </c>
      <c r="B31" s="13">
        <f>+B28+B30</f>
        <v>119103</v>
      </c>
      <c r="C31" s="13">
        <f t="shared" ref="C31:D31" si="8">+C28+C30</f>
        <v>109207</v>
      </c>
      <c r="D31" s="13">
        <f t="shared" si="8"/>
        <v>67091</v>
      </c>
    </row>
    <row r="32" spans="1:11" x14ac:dyDescent="0.35">
      <c r="A32" t="s">
        <v>38</v>
      </c>
      <c r="B32" s="12">
        <v>19300</v>
      </c>
      <c r="C32" s="12">
        <v>14527</v>
      </c>
      <c r="D32" s="12">
        <v>9680</v>
      </c>
    </row>
    <row r="33" spans="1:4" x14ac:dyDescent="0.35">
      <c r="A33" s="33" t="s">
        <v>39</v>
      </c>
      <c r="B33" s="34">
        <f>+B31-B32</f>
        <v>99803</v>
      </c>
      <c r="C33" s="34">
        <f t="shared" ref="C33:D33" si="9">+C31-C32</f>
        <v>94680</v>
      </c>
      <c r="D33" s="34">
        <f t="shared" si="9"/>
        <v>57411</v>
      </c>
    </row>
    <row r="34" spans="1:4" x14ac:dyDescent="0.35">
      <c r="A34" s="54" t="s">
        <v>170</v>
      </c>
      <c r="B34" s="55">
        <f>B33/B10</f>
        <v>0.25309640705199732</v>
      </c>
      <c r="C34" s="55">
        <f t="shared" ref="C34:D34" si="10">C33/C10</f>
        <v>0.25881793355694238</v>
      </c>
      <c r="D34" s="55">
        <f t="shared" si="10"/>
        <v>0.20913611278072236</v>
      </c>
    </row>
    <row r="35" spans="1:4" x14ac:dyDescent="0.35">
      <c r="A35" t="s">
        <v>40</v>
      </c>
    </row>
    <row r="36" spans="1:4" x14ac:dyDescent="0.35">
      <c r="A36" s="1" t="s">
        <v>41</v>
      </c>
      <c r="B36" s="10">
        <v>6.15</v>
      </c>
      <c r="C36" s="10">
        <v>5.67</v>
      </c>
      <c r="D36" s="10">
        <v>3.31</v>
      </c>
    </row>
    <row r="37" spans="1:4" x14ac:dyDescent="0.35">
      <c r="A37" s="1" t="s">
        <v>42</v>
      </c>
      <c r="B37" s="10">
        <v>6.11</v>
      </c>
      <c r="C37" s="10">
        <v>5.61</v>
      </c>
      <c r="D37" s="10">
        <v>3.28</v>
      </c>
    </row>
    <row r="38" spans="1:4" x14ac:dyDescent="0.35">
      <c r="A38" t="s">
        <v>43</v>
      </c>
    </row>
    <row r="39" spans="1:4" x14ac:dyDescent="0.35">
      <c r="A39" s="1" t="s">
        <v>41</v>
      </c>
      <c r="B39" s="2">
        <v>16215963</v>
      </c>
      <c r="C39" s="2">
        <v>16701272</v>
      </c>
      <c r="D39" s="2">
        <v>17352119</v>
      </c>
    </row>
    <row r="40" spans="1:4" x14ac:dyDescent="0.35">
      <c r="A40" s="1" t="s">
        <v>42</v>
      </c>
      <c r="B40" s="2">
        <v>16325819</v>
      </c>
      <c r="C40" s="2">
        <v>16864919</v>
      </c>
      <c r="D40" s="2">
        <v>17528214</v>
      </c>
    </row>
    <row r="43" spans="1:4" x14ac:dyDescent="0.35">
      <c r="A43" s="62" t="s">
        <v>44</v>
      </c>
      <c r="B43" s="62"/>
      <c r="C43" s="62"/>
      <c r="D43" s="62"/>
    </row>
    <row r="44" spans="1:4" x14ac:dyDescent="0.35">
      <c r="B44" s="61" t="s">
        <v>45</v>
      </c>
      <c r="C44" s="61"/>
      <c r="D44" s="61"/>
    </row>
    <row r="45" spans="1:4" x14ac:dyDescent="0.35">
      <c r="B45" s="7">
        <f>+B4</f>
        <v>2022</v>
      </c>
      <c r="C45" s="7">
        <f t="shared" ref="C45:D45" si="11">+C4</f>
        <v>2021</v>
      </c>
      <c r="D45" s="7">
        <f t="shared" si="11"/>
        <v>2020</v>
      </c>
    </row>
    <row r="47" spans="1:4" x14ac:dyDescent="0.35">
      <c r="A47" t="s">
        <v>46</v>
      </c>
    </row>
    <row r="48" spans="1:4" x14ac:dyDescent="0.35">
      <c r="A48" s="1" t="s">
        <v>47</v>
      </c>
      <c r="B48" s="12">
        <v>23646</v>
      </c>
      <c r="C48" s="12">
        <v>34940</v>
      </c>
      <c r="D48" s="12">
        <v>38016</v>
      </c>
    </row>
    <row r="49" spans="1:4" x14ac:dyDescent="0.35">
      <c r="A49" s="1" t="s">
        <v>48</v>
      </c>
      <c r="B49" s="12">
        <v>24658</v>
      </c>
      <c r="C49" s="12">
        <v>27699</v>
      </c>
      <c r="D49" s="12">
        <v>52927</v>
      </c>
    </row>
    <row r="50" spans="1:4" x14ac:dyDescent="0.35">
      <c r="A50" s="1" t="s">
        <v>49</v>
      </c>
      <c r="B50" s="12">
        <v>28184</v>
      </c>
      <c r="C50" s="12">
        <v>26278</v>
      </c>
      <c r="D50" s="12">
        <v>16120</v>
      </c>
    </row>
    <row r="51" spans="1:4" x14ac:dyDescent="0.35">
      <c r="A51" s="1" t="s">
        <v>50</v>
      </c>
      <c r="B51" s="12">
        <v>4946</v>
      </c>
      <c r="C51" s="12">
        <v>6580</v>
      </c>
      <c r="D51" s="12">
        <v>4061</v>
      </c>
    </row>
    <row r="52" spans="1:4" x14ac:dyDescent="0.35">
      <c r="A52" s="1" t="s">
        <v>51</v>
      </c>
      <c r="B52" s="12">
        <v>32748</v>
      </c>
      <c r="C52" s="12">
        <v>25228</v>
      </c>
      <c r="D52" s="12">
        <v>21325</v>
      </c>
    </row>
    <row r="53" spans="1:4" x14ac:dyDescent="0.35">
      <c r="A53" s="1" t="s">
        <v>52</v>
      </c>
      <c r="B53" s="12">
        <v>21223</v>
      </c>
      <c r="C53" s="12">
        <v>14111</v>
      </c>
      <c r="D53" s="12">
        <v>11264</v>
      </c>
    </row>
    <row r="54" spans="1:4" x14ac:dyDescent="0.35">
      <c r="A54" s="8" t="s">
        <v>53</v>
      </c>
      <c r="B54" s="13">
        <f>+SUM(B48:B53)</f>
        <v>135405</v>
      </c>
      <c r="C54" s="13">
        <f t="shared" ref="C54:D54" si="12">+SUM(C48:C53)</f>
        <v>134836</v>
      </c>
      <c r="D54" s="13">
        <f t="shared" si="12"/>
        <v>143713</v>
      </c>
    </row>
    <row r="55" spans="1:4" x14ac:dyDescent="0.35">
      <c r="A55" s="56" t="s">
        <v>162</v>
      </c>
      <c r="B55" s="57">
        <f>B54/C54-1</f>
        <v>4.2199412619774446E-3</v>
      </c>
      <c r="C55" s="57">
        <f>C54/D54-1</f>
        <v>-6.1768942266879123E-2</v>
      </c>
      <c r="D55" s="40"/>
    </row>
    <row r="56" spans="1:4" x14ac:dyDescent="0.35">
      <c r="A56" t="s">
        <v>54</v>
      </c>
      <c r="B56" s="12"/>
      <c r="C56" s="12"/>
      <c r="D56" s="12"/>
    </row>
    <row r="57" spans="1:4" x14ac:dyDescent="0.35">
      <c r="A57" s="1" t="s">
        <v>48</v>
      </c>
      <c r="B57" s="12">
        <v>120805</v>
      </c>
      <c r="C57" s="12">
        <v>127877</v>
      </c>
      <c r="D57" s="12">
        <v>100887</v>
      </c>
    </row>
    <row r="58" spans="1:4" x14ac:dyDescent="0.35">
      <c r="A58" s="1" t="s">
        <v>55</v>
      </c>
      <c r="B58" s="12">
        <v>42117</v>
      </c>
      <c r="C58" s="12">
        <v>39440</v>
      </c>
      <c r="D58" s="12">
        <v>36766</v>
      </c>
    </row>
    <row r="59" spans="1:4" x14ac:dyDescent="0.35">
      <c r="A59" s="1" t="s">
        <v>56</v>
      </c>
      <c r="B59" s="12">
        <v>54428</v>
      </c>
      <c r="C59" s="12">
        <v>48849</v>
      </c>
      <c r="D59" s="12">
        <v>42522</v>
      </c>
    </row>
    <row r="60" spans="1:4" x14ac:dyDescent="0.35">
      <c r="A60" s="8" t="s">
        <v>57</v>
      </c>
      <c r="B60" s="13">
        <f>+SUM(B57:B59)</f>
        <v>217350</v>
      </c>
      <c r="C60" s="13">
        <f t="shared" ref="C60:D60" si="13">+SUM(C57:C59)</f>
        <v>216166</v>
      </c>
      <c r="D60" s="13">
        <f t="shared" si="13"/>
        <v>180175</v>
      </c>
    </row>
    <row r="61" spans="1:4" x14ac:dyDescent="0.35">
      <c r="A61" s="44" t="s">
        <v>162</v>
      </c>
      <c r="B61" s="50">
        <f>B60/C60-1</f>
        <v>5.477272096444441E-3</v>
      </c>
      <c r="C61" s="50">
        <f>C60/D60-1</f>
        <v>0.19975579297904811</v>
      </c>
      <c r="D61" s="13"/>
    </row>
    <row r="62" spans="1:4" x14ac:dyDescent="0.35">
      <c r="A62" s="33" t="s">
        <v>58</v>
      </c>
      <c r="B62" s="34">
        <f>+B54+B60</f>
        <v>352755</v>
      </c>
      <c r="C62" s="34">
        <f>+C54+C60</f>
        <v>351002</v>
      </c>
      <c r="D62" s="34">
        <f>+D54+D60</f>
        <v>323888</v>
      </c>
    </row>
    <row r="63" spans="1:4" x14ac:dyDescent="0.35">
      <c r="A63" s="58" t="s">
        <v>162</v>
      </c>
      <c r="B63" s="55">
        <f>B62/C62-1</f>
        <v>4.994273536902849E-3</v>
      </c>
      <c r="C63" s="55">
        <f>C62/D62-1</f>
        <v>8.3714123400681739E-2</v>
      </c>
      <c r="D63" s="36"/>
    </row>
    <row r="65" spans="1:4" x14ac:dyDescent="0.35">
      <c r="A65" t="s">
        <v>59</v>
      </c>
    </row>
    <row r="66" spans="1:4" x14ac:dyDescent="0.35">
      <c r="A66" s="1" t="s">
        <v>60</v>
      </c>
      <c r="B66" s="12">
        <v>64115</v>
      </c>
      <c r="C66" s="12">
        <v>54763</v>
      </c>
      <c r="D66" s="12">
        <v>42296</v>
      </c>
    </row>
    <row r="67" spans="1:4" x14ac:dyDescent="0.35">
      <c r="A67" s="1" t="s">
        <v>61</v>
      </c>
      <c r="B67" s="12">
        <v>60845</v>
      </c>
      <c r="C67" s="12">
        <v>47493</v>
      </c>
      <c r="D67" s="12">
        <v>42684</v>
      </c>
    </row>
    <row r="68" spans="1:4" x14ac:dyDescent="0.35">
      <c r="A68" s="1" t="s">
        <v>62</v>
      </c>
      <c r="B68" s="12">
        <v>7912</v>
      </c>
      <c r="C68" s="12">
        <v>7612</v>
      </c>
      <c r="D68" s="12">
        <v>6643</v>
      </c>
    </row>
    <row r="69" spans="1:4" x14ac:dyDescent="0.35">
      <c r="A69" s="1" t="s">
        <v>63</v>
      </c>
      <c r="B69" s="12">
        <v>9982</v>
      </c>
      <c r="C69" s="12">
        <v>6000</v>
      </c>
      <c r="D69" s="12">
        <v>4996</v>
      </c>
    </row>
    <row r="70" spans="1:4" x14ac:dyDescent="0.35">
      <c r="A70" s="1" t="s">
        <v>64</v>
      </c>
      <c r="B70" s="12">
        <v>11128</v>
      </c>
      <c r="C70" s="12">
        <v>9613</v>
      </c>
      <c r="D70" s="12">
        <v>8773</v>
      </c>
    </row>
    <row r="71" spans="1:4" x14ac:dyDescent="0.35">
      <c r="A71" s="8" t="s">
        <v>65</v>
      </c>
      <c r="B71" s="13">
        <f>+SUM(B66:B70)</f>
        <v>153982</v>
      </c>
      <c r="C71" s="13">
        <f t="shared" ref="C71:D71" si="14">+SUM(C66:C70)</f>
        <v>125481</v>
      </c>
      <c r="D71" s="13">
        <f t="shared" si="14"/>
        <v>105392</v>
      </c>
    </row>
    <row r="72" spans="1:4" x14ac:dyDescent="0.35">
      <c r="A72" s="44" t="s">
        <v>162</v>
      </c>
      <c r="B72" s="50">
        <f t="shared" ref="B72:C72" si="15">B71/C71-1</f>
        <v>0.22713398841258825</v>
      </c>
      <c r="C72" s="50">
        <f t="shared" si="15"/>
        <v>0.19061219067860935</v>
      </c>
      <c r="D72" s="32"/>
    </row>
    <row r="73" spans="1:4" x14ac:dyDescent="0.35">
      <c r="A73" t="s">
        <v>66</v>
      </c>
      <c r="B73" s="12"/>
      <c r="C73" s="12"/>
      <c r="D73" s="12"/>
    </row>
    <row r="74" spans="1:4" x14ac:dyDescent="0.35">
      <c r="A74" s="1" t="s">
        <v>62</v>
      </c>
      <c r="B74" s="12"/>
      <c r="C74" s="12"/>
      <c r="D74" s="12"/>
    </row>
    <row r="75" spans="1:4" x14ac:dyDescent="0.35">
      <c r="A75" s="1" t="s">
        <v>64</v>
      </c>
      <c r="B75" s="12">
        <v>98959</v>
      </c>
      <c r="C75" s="12">
        <v>109106</v>
      </c>
      <c r="D75" s="12">
        <v>98667</v>
      </c>
    </row>
    <row r="76" spans="1:4" x14ac:dyDescent="0.35">
      <c r="A76" s="1" t="s">
        <v>67</v>
      </c>
      <c r="B76" s="12">
        <v>49142</v>
      </c>
      <c r="C76" s="12">
        <v>53325</v>
      </c>
      <c r="D76" s="12">
        <v>54490</v>
      </c>
    </row>
    <row r="77" spans="1:4" x14ac:dyDescent="0.35">
      <c r="A77" s="17" t="s">
        <v>68</v>
      </c>
      <c r="B77" s="38">
        <f>+B75+B76</f>
        <v>148101</v>
      </c>
      <c r="C77" s="38">
        <f t="shared" ref="C77:D77" si="16">+C75+C76</f>
        <v>162431</v>
      </c>
      <c r="D77" s="38">
        <f t="shared" si="16"/>
        <v>153157</v>
      </c>
    </row>
    <row r="78" spans="1:4" x14ac:dyDescent="0.35">
      <c r="A78" s="47" t="s">
        <v>162</v>
      </c>
      <c r="B78" s="48">
        <f t="shared" ref="B78:C80" si="17">B77/C77-1</f>
        <v>-8.8222075835277747E-2</v>
      </c>
      <c r="C78" s="48">
        <f t="shared" si="17"/>
        <v>6.0552243775994663E-2</v>
      </c>
      <c r="D78" s="39"/>
    </row>
    <row r="79" spans="1:4" x14ac:dyDescent="0.35">
      <c r="A79" s="7" t="s">
        <v>69</v>
      </c>
      <c r="B79" s="32">
        <f>+B71+B77</f>
        <v>302083</v>
      </c>
      <c r="C79" s="32">
        <f>+C71+C77</f>
        <v>287912</v>
      </c>
      <c r="D79" s="32">
        <f>+D71+D77</f>
        <v>258549</v>
      </c>
    </row>
    <row r="80" spans="1:4" x14ac:dyDescent="0.35">
      <c r="A80" s="44" t="s">
        <v>162</v>
      </c>
      <c r="B80" s="50">
        <f t="shared" si="17"/>
        <v>4.9219900525160565E-2</v>
      </c>
      <c r="C80" s="50">
        <f t="shared" si="17"/>
        <v>0.11356841449783217</v>
      </c>
      <c r="D80" s="12"/>
    </row>
    <row r="81" spans="1:4" x14ac:dyDescent="0.35">
      <c r="A81" t="s">
        <v>70</v>
      </c>
      <c r="B81" s="12"/>
      <c r="C81" s="12"/>
      <c r="D81" s="12"/>
    </row>
    <row r="82" spans="1:4" x14ac:dyDescent="0.35">
      <c r="A82" s="1" t="s">
        <v>71</v>
      </c>
      <c r="B82" s="12">
        <v>64849</v>
      </c>
      <c r="C82" s="12">
        <v>57365</v>
      </c>
      <c r="D82" s="12">
        <v>50779</v>
      </c>
    </row>
    <row r="83" spans="1:4" x14ac:dyDescent="0.35">
      <c r="A83" s="1" t="s">
        <v>72</v>
      </c>
      <c r="B83" s="12">
        <v>-3068</v>
      </c>
      <c r="C83" s="12">
        <v>5562</v>
      </c>
      <c r="D83" s="12">
        <v>14966</v>
      </c>
    </row>
    <row r="84" spans="1:4" x14ac:dyDescent="0.35">
      <c r="A84" s="1" t="s">
        <v>73</v>
      </c>
      <c r="B84" s="12">
        <v>-11109</v>
      </c>
      <c r="C84" s="12">
        <v>163</v>
      </c>
      <c r="D84" s="12">
        <v>-406</v>
      </c>
    </row>
    <row r="85" spans="1:4" x14ac:dyDescent="0.35">
      <c r="A85" s="8" t="s">
        <v>74</v>
      </c>
      <c r="B85" s="13">
        <f>+SUM(B82:B84)</f>
        <v>50672</v>
      </c>
      <c r="C85" s="13">
        <f t="shared" ref="C85:D85" si="18">+SUM(C82:C84)</f>
        <v>63090</v>
      </c>
      <c r="D85" s="13">
        <f t="shared" si="18"/>
        <v>65339</v>
      </c>
    </row>
    <row r="86" spans="1:4" x14ac:dyDescent="0.35">
      <c r="A86" s="44" t="s">
        <v>162</v>
      </c>
      <c r="B86" s="50">
        <f t="shared" ref="B86:C86" si="19">B85/C85-1</f>
        <v>-0.19682992550324929</v>
      </c>
      <c r="C86" s="50">
        <f t="shared" si="19"/>
        <v>-3.4420483937617652E-2</v>
      </c>
      <c r="D86" s="13"/>
    </row>
    <row r="87" spans="1:4" x14ac:dyDescent="0.35">
      <c r="A87" s="9" t="s">
        <v>75</v>
      </c>
      <c r="B87" s="14">
        <f>+B85+B79</f>
        <v>352755</v>
      </c>
      <c r="C87" s="14">
        <f>+C85+C79</f>
        <v>351002</v>
      </c>
      <c r="D87" s="14">
        <f>+D85+D79</f>
        <v>323888</v>
      </c>
    </row>
    <row r="89" spans="1:4" x14ac:dyDescent="0.35">
      <c r="A89" s="62" t="s">
        <v>76</v>
      </c>
      <c r="B89" s="62"/>
      <c r="C89" s="62"/>
      <c r="D89" s="62"/>
    </row>
    <row r="90" spans="1:4" x14ac:dyDescent="0.35">
      <c r="B90" s="61" t="s">
        <v>24</v>
      </c>
      <c r="C90" s="61"/>
      <c r="D90" s="61"/>
    </row>
    <row r="91" spans="1:4" x14ac:dyDescent="0.35">
      <c r="B91" s="7">
        <f>+B45</f>
        <v>2022</v>
      </c>
      <c r="C91" s="7">
        <f t="shared" ref="C91:D91" si="20">+C45</f>
        <v>2021</v>
      </c>
      <c r="D91" s="7">
        <f t="shared" si="20"/>
        <v>2020</v>
      </c>
    </row>
    <row r="93" spans="1:4" x14ac:dyDescent="0.35">
      <c r="A93" s="7" t="s">
        <v>77</v>
      </c>
      <c r="B93" s="15"/>
      <c r="C93" s="15"/>
      <c r="D93" s="15"/>
    </row>
    <row r="94" spans="1:4" x14ac:dyDescent="0.35">
      <c r="A94" t="s">
        <v>78</v>
      </c>
      <c r="B94" s="12">
        <f>+B33</f>
        <v>99803</v>
      </c>
      <c r="C94" s="12">
        <f t="shared" ref="C94:D94" si="21">+C33</f>
        <v>94680</v>
      </c>
      <c r="D94" s="12">
        <f t="shared" si="21"/>
        <v>57411</v>
      </c>
    </row>
    <row r="95" spans="1:4" x14ac:dyDescent="0.35">
      <c r="A95" s="11" t="s">
        <v>39</v>
      </c>
      <c r="B95" s="15"/>
      <c r="C95" s="15"/>
      <c r="D95" s="15"/>
    </row>
    <row r="96" spans="1:4" x14ac:dyDescent="0.35">
      <c r="A96" s="1" t="s">
        <v>79</v>
      </c>
      <c r="B96" s="12"/>
      <c r="C96" s="12"/>
      <c r="D96" s="12"/>
    </row>
    <row r="97" spans="1:4" x14ac:dyDescent="0.35">
      <c r="A97" s="3" t="s">
        <v>80</v>
      </c>
      <c r="B97" s="12">
        <v>11104</v>
      </c>
      <c r="C97" s="12">
        <v>11284</v>
      </c>
      <c r="D97" s="12">
        <v>11056</v>
      </c>
    </row>
    <row r="98" spans="1:4" x14ac:dyDescent="0.35">
      <c r="A98" s="3" t="s">
        <v>81</v>
      </c>
      <c r="B98" s="12">
        <v>9038</v>
      </c>
      <c r="C98" s="12">
        <v>7906</v>
      </c>
      <c r="D98" s="12">
        <v>6829</v>
      </c>
    </row>
    <row r="99" spans="1:4" x14ac:dyDescent="0.35">
      <c r="A99" s="3" t="s">
        <v>82</v>
      </c>
      <c r="B99" s="12">
        <v>895</v>
      </c>
      <c r="C99" s="12">
        <v>-4774</v>
      </c>
      <c r="D99" s="12">
        <v>-215</v>
      </c>
    </row>
    <row r="100" spans="1:4" x14ac:dyDescent="0.35">
      <c r="A100" s="3" t="s">
        <v>83</v>
      </c>
      <c r="B100" s="12">
        <v>111</v>
      </c>
      <c r="C100" s="12">
        <v>-147</v>
      </c>
      <c r="D100" s="12">
        <v>-97</v>
      </c>
    </row>
    <row r="101" spans="1:4" x14ac:dyDescent="0.35">
      <c r="A101" t="s">
        <v>84</v>
      </c>
      <c r="B101" s="12"/>
      <c r="C101" s="12"/>
      <c r="D101" s="12"/>
    </row>
    <row r="102" spans="1:4" x14ac:dyDescent="0.35">
      <c r="A102" s="1" t="s">
        <v>49</v>
      </c>
      <c r="B102" s="12">
        <v>-1823</v>
      </c>
      <c r="C102" s="12">
        <v>-10125</v>
      </c>
      <c r="D102" s="12">
        <v>6917</v>
      </c>
    </row>
    <row r="103" spans="1:4" x14ac:dyDescent="0.35">
      <c r="A103" s="1" t="s">
        <v>50</v>
      </c>
      <c r="B103" s="12">
        <v>1484</v>
      </c>
      <c r="C103" s="12">
        <v>-2642</v>
      </c>
      <c r="D103" s="12">
        <v>-127</v>
      </c>
    </row>
    <row r="104" spans="1:4" x14ac:dyDescent="0.35">
      <c r="A104" s="1" t="s">
        <v>51</v>
      </c>
      <c r="B104" s="12">
        <v>-7520</v>
      </c>
      <c r="C104" s="12">
        <v>-3903</v>
      </c>
      <c r="D104" s="12">
        <v>1553</v>
      </c>
    </row>
    <row r="105" spans="1:4" x14ac:dyDescent="0.35">
      <c r="A105" s="1" t="s">
        <v>85</v>
      </c>
      <c r="B105" s="12">
        <v>-6499</v>
      </c>
      <c r="C105" s="12">
        <v>-8042</v>
      </c>
      <c r="D105" s="12">
        <v>-9588</v>
      </c>
    </row>
    <row r="106" spans="1:4" x14ac:dyDescent="0.35">
      <c r="A106" s="1" t="s">
        <v>60</v>
      </c>
      <c r="B106" s="12">
        <v>9448</v>
      </c>
      <c r="C106" s="12">
        <v>12326</v>
      </c>
      <c r="D106" s="12">
        <v>-4062</v>
      </c>
    </row>
    <row r="107" spans="1:4" x14ac:dyDescent="0.35">
      <c r="A107" s="1" t="s">
        <v>62</v>
      </c>
      <c r="B107" s="12">
        <v>478</v>
      </c>
      <c r="C107" s="12">
        <v>1676</v>
      </c>
      <c r="D107" s="12">
        <v>2081</v>
      </c>
    </row>
    <row r="108" spans="1:4" x14ac:dyDescent="0.35">
      <c r="A108" s="1" t="s">
        <v>86</v>
      </c>
      <c r="B108" s="12">
        <v>5632</v>
      </c>
      <c r="C108" s="12">
        <v>5799</v>
      </c>
      <c r="D108" s="12">
        <v>8916</v>
      </c>
    </row>
    <row r="109" spans="1:4" x14ac:dyDescent="0.35">
      <c r="A109" s="8" t="s">
        <v>87</v>
      </c>
      <c r="B109" s="13">
        <f>+SUM(B94:B108)</f>
        <v>122151</v>
      </c>
      <c r="C109" s="13">
        <f t="shared" ref="C109:D109" si="22">+SUM(C94:C108)</f>
        <v>104038</v>
      </c>
      <c r="D109" s="13">
        <f t="shared" si="22"/>
        <v>80674</v>
      </c>
    </row>
    <row r="110" spans="1:4" x14ac:dyDescent="0.35">
      <c r="A110" s="7" t="s">
        <v>88</v>
      </c>
      <c r="B110" s="12"/>
      <c r="C110" s="12"/>
      <c r="D110" s="12"/>
    </row>
    <row r="111" spans="1:4" x14ac:dyDescent="0.35">
      <c r="A111" s="1" t="s">
        <v>89</v>
      </c>
      <c r="B111" s="12">
        <v>-76923</v>
      </c>
      <c r="C111" s="12">
        <v>-109558</v>
      </c>
      <c r="D111" s="12">
        <v>-114938</v>
      </c>
    </row>
    <row r="112" spans="1:4" x14ac:dyDescent="0.35">
      <c r="A112" s="1" t="s">
        <v>90</v>
      </c>
      <c r="B112" s="12">
        <v>29917</v>
      </c>
      <c r="C112" s="12">
        <v>59023</v>
      </c>
      <c r="D112" s="12">
        <v>69918</v>
      </c>
    </row>
    <row r="113" spans="1:4" x14ac:dyDescent="0.35">
      <c r="A113" s="1" t="s">
        <v>91</v>
      </c>
      <c r="B113" s="12">
        <v>37446</v>
      </c>
      <c r="C113" s="12">
        <v>47460</v>
      </c>
      <c r="D113" s="12">
        <v>50473</v>
      </c>
    </row>
    <row r="114" spans="1:4" x14ac:dyDescent="0.35">
      <c r="A114" s="1" t="s">
        <v>92</v>
      </c>
      <c r="B114" s="12">
        <v>-10708</v>
      </c>
      <c r="C114" s="12">
        <v>-11085</v>
      </c>
      <c r="D114" s="12">
        <v>-7309</v>
      </c>
    </row>
    <row r="115" spans="1:4" x14ac:dyDescent="0.35">
      <c r="A115" s="1" t="s">
        <v>93</v>
      </c>
      <c r="B115" s="12">
        <v>-306</v>
      </c>
      <c r="C115" s="12">
        <v>-33</v>
      </c>
      <c r="D115" s="12">
        <v>-1524</v>
      </c>
    </row>
    <row r="116" spans="1:4" x14ac:dyDescent="0.35">
      <c r="A116" s="1" t="s">
        <v>83</v>
      </c>
      <c r="B116" s="12">
        <v>-1780</v>
      </c>
      <c r="C116" s="12">
        <v>-352</v>
      </c>
      <c r="D116" s="12">
        <v>-909</v>
      </c>
    </row>
    <row r="117" spans="1:4" x14ac:dyDescent="0.35">
      <c r="A117" s="8" t="s">
        <v>94</v>
      </c>
      <c r="B117" s="13">
        <f>+SUM(B111:B116)</f>
        <v>-22354</v>
      </c>
      <c r="C117" s="13">
        <f t="shared" ref="C117:D117" si="23">+SUM(C111:C116)</f>
        <v>-14545</v>
      </c>
      <c r="D117" s="13">
        <f t="shared" si="23"/>
        <v>-4289</v>
      </c>
    </row>
    <row r="118" spans="1:4" x14ac:dyDescent="0.35">
      <c r="A118" s="7" t="s">
        <v>95</v>
      </c>
      <c r="B118" s="12"/>
      <c r="C118" s="12"/>
      <c r="D118" s="12"/>
    </row>
    <row r="119" spans="1:4" x14ac:dyDescent="0.35">
      <c r="A119" s="1" t="s">
        <v>96</v>
      </c>
      <c r="B119" s="12">
        <v>-6223</v>
      </c>
      <c r="C119" s="12">
        <v>-6556</v>
      </c>
      <c r="D119" s="12">
        <v>-3634</v>
      </c>
    </row>
    <row r="120" spans="1:4" x14ac:dyDescent="0.35">
      <c r="A120" s="1" t="s">
        <v>97</v>
      </c>
      <c r="B120" s="12">
        <v>-14841</v>
      </c>
      <c r="C120" s="12">
        <v>-14467</v>
      </c>
      <c r="D120" s="12">
        <v>-14081</v>
      </c>
    </row>
    <row r="121" spans="1:4" x14ac:dyDescent="0.35">
      <c r="A121" s="1" t="s">
        <v>98</v>
      </c>
      <c r="B121" s="12">
        <v>-89402</v>
      </c>
      <c r="C121" s="12">
        <v>-85971</v>
      </c>
      <c r="D121" s="12">
        <v>-72358</v>
      </c>
    </row>
    <row r="122" spans="1:4" x14ac:dyDescent="0.35">
      <c r="A122" s="1" t="s">
        <v>99</v>
      </c>
      <c r="B122" s="12">
        <v>5465</v>
      </c>
      <c r="C122" s="12">
        <v>20393</v>
      </c>
      <c r="D122" s="12">
        <v>16091</v>
      </c>
    </row>
    <row r="123" spans="1:4" x14ac:dyDescent="0.35">
      <c r="A123" s="1" t="s">
        <v>100</v>
      </c>
      <c r="B123" s="12">
        <v>-9543</v>
      </c>
      <c r="C123" s="12">
        <v>-8750</v>
      </c>
      <c r="D123" s="12">
        <v>-12629</v>
      </c>
    </row>
    <row r="124" spans="1:4" x14ac:dyDescent="0.35">
      <c r="A124" s="1" t="s">
        <v>101</v>
      </c>
      <c r="B124" s="12">
        <v>3955</v>
      </c>
      <c r="C124" s="12">
        <v>1022</v>
      </c>
      <c r="D124" s="12">
        <v>-963</v>
      </c>
    </row>
    <row r="125" spans="1:4" x14ac:dyDescent="0.35">
      <c r="A125" s="1" t="s">
        <v>83</v>
      </c>
      <c r="B125" s="12">
        <v>-160</v>
      </c>
      <c r="C125" s="12">
        <v>976</v>
      </c>
      <c r="D125" s="12">
        <v>754</v>
      </c>
    </row>
    <row r="126" spans="1:4" x14ac:dyDescent="0.35">
      <c r="A126" s="8" t="s">
        <v>102</v>
      </c>
      <c r="B126" s="13">
        <f>+SUM(B119:B125)</f>
        <v>-110749</v>
      </c>
      <c r="C126" s="13">
        <f t="shared" ref="C126:D126" si="24">+SUM(C119:C125)</f>
        <v>-93353</v>
      </c>
      <c r="D126" s="13">
        <f t="shared" si="24"/>
        <v>-86820</v>
      </c>
    </row>
    <row r="127" spans="1:4" x14ac:dyDescent="0.35">
      <c r="A127" s="8" t="s">
        <v>103</v>
      </c>
      <c r="B127" s="13">
        <f>+B109+B117+B126</f>
        <v>-10952</v>
      </c>
      <c r="C127" s="13">
        <f t="shared" ref="C127:D127" si="25">+C109+C117+C126</f>
        <v>-3860</v>
      </c>
      <c r="D127" s="13">
        <f t="shared" si="25"/>
        <v>-10435</v>
      </c>
    </row>
    <row r="128" spans="1:4" x14ac:dyDescent="0.35">
      <c r="A128" s="9" t="s">
        <v>104</v>
      </c>
      <c r="B128" s="14">
        <v>24977</v>
      </c>
      <c r="C128" s="14">
        <v>35929</v>
      </c>
      <c r="D128" s="14">
        <v>39789</v>
      </c>
    </row>
    <row r="129" spans="1:4" x14ac:dyDescent="0.35">
      <c r="B129" s="12"/>
      <c r="C129" s="12"/>
      <c r="D129" s="12"/>
    </row>
    <row r="130" spans="1:4" x14ac:dyDescent="0.35">
      <c r="A130" t="s">
        <v>105</v>
      </c>
      <c r="B130" s="12"/>
      <c r="C130" s="12"/>
      <c r="D130" s="12"/>
    </row>
    <row r="131" spans="1:4" x14ac:dyDescent="0.35">
      <c r="A131" t="s">
        <v>106</v>
      </c>
      <c r="B131" s="12">
        <v>19573</v>
      </c>
      <c r="C131" s="12">
        <v>25385</v>
      </c>
      <c r="D131" s="12">
        <v>9501</v>
      </c>
    </row>
    <row r="132" spans="1:4" x14ac:dyDescent="0.35">
      <c r="A132" s="51" t="s">
        <v>171</v>
      </c>
      <c r="B132" s="45">
        <f>B131/B31</f>
        <v>0.1643367505436471</v>
      </c>
      <c r="C132" s="45">
        <f t="shared" ref="C132:D132" si="26">C131/C31</f>
        <v>0.23244846942045841</v>
      </c>
      <c r="D132" s="45">
        <f t="shared" si="26"/>
        <v>0.14161362924982487</v>
      </c>
    </row>
    <row r="133" spans="1:4" x14ac:dyDescent="0.35">
      <c r="A133" t="s">
        <v>107</v>
      </c>
      <c r="B133" s="12">
        <v>2865</v>
      </c>
      <c r="C133" s="12">
        <v>2687</v>
      </c>
      <c r="D133" s="12">
        <v>3002</v>
      </c>
    </row>
    <row r="136" spans="1:4" x14ac:dyDescent="0.35">
      <c r="A136" s="59" t="s">
        <v>16</v>
      </c>
      <c r="B136" s="60">
        <f>-B114/B10</f>
        <v>2.7155058732831552E-2</v>
      </c>
      <c r="C136" s="60">
        <f t="shared" ref="C136:D136" si="27">-C114/C10</f>
        <v>3.0302036264033657E-2</v>
      </c>
      <c r="D136" s="60">
        <f t="shared" si="27"/>
        <v>2.6625138881299748E-2</v>
      </c>
    </row>
    <row r="137" spans="1:4" x14ac:dyDescent="0.35">
      <c r="A137" s="59" t="s">
        <v>17</v>
      </c>
      <c r="B137" s="60">
        <f>-B114/B60</f>
        <v>4.9266160570508394E-2</v>
      </c>
      <c r="C137" s="60">
        <f t="shared" ref="C137:D137" si="28">-C114/C60</f>
        <v>5.1280034788079534E-2</v>
      </c>
      <c r="D137" s="60">
        <f t="shared" si="28"/>
        <v>4.0566116275842931E-2</v>
      </c>
    </row>
    <row r="141" spans="1:4" x14ac:dyDescent="0.35">
      <c r="B141" s="2"/>
    </row>
    <row r="142" spans="1:4" x14ac:dyDescent="0.35">
      <c r="B142" s="43"/>
    </row>
  </sheetData>
  <mergeCells count="6">
    <mergeCell ref="B90:D90"/>
    <mergeCell ref="A2:D2"/>
    <mergeCell ref="B3:D3"/>
    <mergeCell ref="A43:D43"/>
    <mergeCell ref="B44:D44"/>
    <mergeCell ref="A89:D89"/>
  </mergeCells>
  <pageMargins left="0.7" right="0.7" top="0.75" bottom="0.75" header="0.3" footer="0.3"/>
  <pageSetup orientation="portrait" r:id="rId1"/>
  <ignoredErrors>
    <ignoredError sqref="B62:C62 B10: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Other Workings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ADEYINKA OMIKUNLE</cp:lastModifiedBy>
  <cp:revision/>
  <dcterms:created xsi:type="dcterms:W3CDTF">2020-05-18T16:32:37Z</dcterms:created>
  <dcterms:modified xsi:type="dcterms:W3CDTF">2023-08-16T16:50:09Z</dcterms:modified>
  <cp:category/>
  <cp:contentStatus/>
</cp:coreProperties>
</file>