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air/Downloads/"/>
    </mc:Choice>
  </mc:AlternateContent>
  <xr:revisionPtr revIDLastSave="0" documentId="13_ncr:1_{6EAC93C7-277F-5C4A-8AE4-6DEA5DCD2CD2}" xr6:coauthVersionLast="47" xr6:coauthVersionMax="47" xr10:uidLastSave="{00000000-0000-0000-0000-000000000000}"/>
  <bookViews>
    <workbookView xWindow="0" yWindow="500" windowWidth="23260" windowHeight="13900" activeTab="4" xr2:uid="{00000000-000D-0000-FFFF-FFFF00000000}"/>
  </bookViews>
  <sheets>
    <sheet name="Instructions" sheetId="2" r:id="rId1"/>
    <sheet name="Financial Statements" sheetId="1" r:id="rId2"/>
    <sheet name="List of Ratios" sheetId="3" r:id="rId3"/>
    <sheet name="Growth Rates" sheetId="4" r:id="rId4"/>
    <sheet name="Additional Items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3" l="1"/>
  <c r="C8" i="3" l="1"/>
  <c r="C7" i="5"/>
  <c r="C6" i="5"/>
  <c r="D6" i="5"/>
  <c r="D7" i="5"/>
  <c r="C5" i="5"/>
  <c r="D5" i="5"/>
  <c r="E5" i="5"/>
  <c r="E3" i="5"/>
  <c r="D3" i="5"/>
  <c r="C3" i="5"/>
  <c r="E34" i="4"/>
  <c r="E33" i="4"/>
  <c r="E32" i="4"/>
  <c r="E31" i="4"/>
  <c r="E30" i="4"/>
  <c r="E29" i="4"/>
  <c r="E28" i="4"/>
  <c r="D34" i="4"/>
  <c r="D33" i="4"/>
  <c r="D32" i="4"/>
  <c r="D31" i="4"/>
  <c r="D30" i="4"/>
  <c r="D29" i="4"/>
  <c r="D28" i="4"/>
  <c r="D18" i="4"/>
  <c r="D19" i="4"/>
  <c r="D20" i="4"/>
  <c r="D21" i="4"/>
  <c r="D22" i="4"/>
  <c r="D23" i="4"/>
  <c r="D24" i="4"/>
  <c r="D25" i="4"/>
  <c r="E25" i="4"/>
  <c r="E24" i="4"/>
  <c r="E23" i="4"/>
  <c r="E22" i="4"/>
  <c r="E21" i="4"/>
  <c r="E20" i="4"/>
  <c r="E19" i="4"/>
  <c r="E18" i="4"/>
  <c r="D15" i="4"/>
  <c r="D14" i="4"/>
  <c r="D13" i="4"/>
  <c r="E15" i="4"/>
  <c r="E14" i="4"/>
  <c r="E13" i="4"/>
  <c r="D10" i="4"/>
  <c r="E10" i="4"/>
  <c r="D7" i="4"/>
  <c r="D6" i="4"/>
  <c r="E7" i="4"/>
  <c r="E6" i="4"/>
  <c r="E5" i="4"/>
  <c r="D5" i="4"/>
  <c r="E3" i="4"/>
  <c r="D3" i="4"/>
  <c r="C51" i="3"/>
  <c r="D51" i="3"/>
  <c r="E51" i="3"/>
  <c r="D49" i="3"/>
  <c r="E49" i="3"/>
  <c r="C49" i="3"/>
  <c r="C47" i="3"/>
  <c r="D47" i="3"/>
  <c r="E47" i="3"/>
  <c r="C45" i="3"/>
  <c r="C44" i="3" s="1"/>
  <c r="D45" i="3"/>
  <c r="D46" i="3" s="1"/>
  <c r="C43" i="3"/>
  <c r="C42" i="3" s="1"/>
  <c r="D43" i="3"/>
  <c r="D42" i="3" s="1"/>
  <c r="E43" i="3"/>
  <c r="E42" i="3" s="1"/>
  <c r="C41" i="3"/>
  <c r="D41" i="3"/>
  <c r="E41" i="3"/>
  <c r="E40" i="3"/>
  <c r="D40" i="3"/>
  <c r="C40" i="3"/>
  <c r="C37" i="3"/>
  <c r="D37" i="3"/>
  <c r="E37" i="3"/>
  <c r="C36" i="3"/>
  <c r="D36" i="3"/>
  <c r="C35" i="3"/>
  <c r="D35" i="3"/>
  <c r="C34" i="3"/>
  <c r="D34" i="3"/>
  <c r="C27" i="3"/>
  <c r="D27" i="3"/>
  <c r="E27" i="3"/>
  <c r="E26" i="3"/>
  <c r="C26" i="3"/>
  <c r="D26" i="3"/>
  <c r="C25" i="3"/>
  <c r="D25" i="3"/>
  <c r="E25" i="3"/>
  <c r="C22" i="3"/>
  <c r="D22" i="3"/>
  <c r="E19" i="3"/>
  <c r="E18" i="3" s="1"/>
  <c r="E22" i="3"/>
  <c r="C19" i="3"/>
  <c r="C29" i="3" s="1"/>
  <c r="D19" i="3"/>
  <c r="D29" i="3" s="1"/>
  <c r="C21" i="3"/>
  <c r="C31" i="3" s="1"/>
  <c r="D21" i="3"/>
  <c r="D28" i="3" s="1"/>
  <c r="E21" i="3"/>
  <c r="E48" i="3" s="1"/>
  <c r="C17" i="3"/>
  <c r="D17" i="3"/>
  <c r="E17" i="3"/>
  <c r="C14" i="3"/>
  <c r="C13" i="3" s="1"/>
  <c r="D14" i="3"/>
  <c r="D13" i="3" s="1"/>
  <c r="E14" i="3"/>
  <c r="E13" i="3" s="1"/>
  <c r="C11" i="3"/>
  <c r="D11" i="3"/>
  <c r="E11" i="3"/>
  <c r="C10" i="3"/>
  <c r="C12" i="3" s="1"/>
  <c r="D10" i="3"/>
  <c r="C9" i="3"/>
  <c r="D9" i="3"/>
  <c r="E9" i="3"/>
  <c r="D8" i="3"/>
  <c r="E8" i="3"/>
  <c r="C7" i="3"/>
  <c r="D7" i="3"/>
  <c r="E7" i="3"/>
  <c r="E5" i="3"/>
  <c r="C5" i="3"/>
  <c r="D5" i="3"/>
  <c r="C6" i="3"/>
  <c r="D6" i="3"/>
  <c r="E6" i="3"/>
  <c r="D108" i="1"/>
  <c r="C108" i="1"/>
  <c r="B108" i="1"/>
  <c r="D99" i="1"/>
  <c r="C99" i="1"/>
  <c r="B99" i="1"/>
  <c r="D12" i="3" l="1"/>
  <c r="E20" i="3"/>
  <c r="C20" i="3"/>
  <c r="E28" i="3"/>
  <c r="C48" i="3"/>
  <c r="E50" i="3"/>
  <c r="C28" i="3"/>
  <c r="D50" i="3"/>
  <c r="C50" i="3"/>
  <c r="D18" i="3"/>
  <c r="D31" i="3"/>
  <c r="C46" i="3"/>
  <c r="C18" i="3"/>
  <c r="E29" i="3"/>
  <c r="D44" i="3"/>
  <c r="D48" i="3"/>
  <c r="D20" i="3"/>
  <c r="D68" i="1"/>
  <c r="C68" i="1"/>
  <c r="B68" i="1"/>
  <c r="D61" i="1"/>
  <c r="C61" i="1"/>
  <c r="B61" i="1"/>
  <c r="D56" i="1"/>
  <c r="C56" i="1"/>
  <c r="C62" i="1" s="1"/>
  <c r="B56" i="1"/>
  <c r="D47" i="1"/>
  <c r="C47" i="1"/>
  <c r="B47" i="1"/>
  <c r="D42" i="1"/>
  <c r="C42" i="1"/>
  <c r="B42" i="1"/>
  <c r="B48" i="1" s="1"/>
  <c r="D17" i="1"/>
  <c r="C17" i="1"/>
  <c r="B17" i="1"/>
  <c r="D12" i="1"/>
  <c r="C12" i="1"/>
  <c r="B12" i="1"/>
  <c r="D8" i="1"/>
  <c r="D13" i="1" s="1"/>
  <c r="D18" i="1" s="1"/>
  <c r="D20" i="1" s="1"/>
  <c r="D22" i="1" s="1"/>
  <c r="D76" i="1" s="1"/>
  <c r="D91" i="1" s="1"/>
  <c r="D109" i="1" s="1"/>
  <c r="C8" i="1"/>
  <c r="B8" i="1"/>
  <c r="E3" i="3"/>
  <c r="D3" i="3"/>
  <c r="C3" i="3"/>
  <c r="D33" i="1"/>
  <c r="D73" i="1" s="1"/>
  <c r="C33" i="1"/>
  <c r="C73" i="1" s="1"/>
  <c r="B33" i="1"/>
  <c r="B73" i="1" s="1"/>
  <c r="B13" i="1" l="1"/>
  <c r="C13" i="1"/>
  <c r="C18" i="1" s="1"/>
  <c r="C20" i="1" s="1"/>
  <c r="C22" i="1" s="1"/>
  <c r="C76" i="1" s="1"/>
  <c r="C91" i="1" s="1"/>
  <c r="C109" i="1" s="1"/>
  <c r="B62" i="1"/>
  <c r="B69" i="1" s="1"/>
  <c r="B18" i="1"/>
  <c r="B20" i="1" s="1"/>
  <c r="B22" i="1" s="1"/>
  <c r="B76" i="1" s="1"/>
  <c r="B91" i="1" s="1"/>
  <c r="B109" i="1" s="1"/>
  <c r="C48" i="1"/>
  <c r="D62" i="1"/>
  <c r="D69" i="1" s="1"/>
  <c r="C69" i="1"/>
  <c r="D48" i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A24" i="3" l="1"/>
  <c r="A25" i="3" s="1"/>
  <c r="A26" i="3" s="1"/>
  <c r="A27" i="3" s="1"/>
  <c r="A28" i="3" s="1"/>
  <c r="A29" i="3" s="1"/>
  <c r="A30" i="3" s="1"/>
  <c r="A33" i="3" l="1"/>
  <c r="A34" i="3" s="1"/>
  <c r="A35" i="3" s="1"/>
  <c r="A36" i="3" s="1"/>
  <c r="A37" i="3" s="1"/>
  <c r="A39" i="3" l="1"/>
  <c r="A40" i="3" s="1"/>
  <c r="A41" i="3" s="1"/>
  <c r="A42" i="3" s="1"/>
  <c r="A43" i="3" s="1"/>
  <c r="A44" i="3" s="1"/>
  <c r="A46" i="3" s="1"/>
  <c r="A48" i="3" s="1"/>
  <c r="A50" i="3" s="1"/>
</calcChain>
</file>

<file path=xl/sharedStrings.xml><?xml version="1.0" encoding="utf-8"?>
<sst xmlns="http://schemas.openxmlformats.org/spreadsheetml/2006/main" count="226" uniqueCount="174">
  <si>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</si>
  <si>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</si>
  <si>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</si>
  <si>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</si>
  <si>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</si>
  <si>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</si>
  <si>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</si>
  <si>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</si>
  <si>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</si>
  <si>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</si>
  <si>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</si>
  <si>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</si>
  <si>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</si>
  <si>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</si>
  <si>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</si>
  <si>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</si>
  <si>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</si>
  <si>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</si>
  <si>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</si>
  <si>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</si>
  <si>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</si>
  <si>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</si>
  <si>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</si>
  <si>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</si>
  <si>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</si>
  <si>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</si>
  <si>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</si>
  <si>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</si>
  <si>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</si>
  <si>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</si>
  <si>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</si>
  <si>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</si>
  <si>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</si>
  <si>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</si>
  <si>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</si>
  <si>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</si>
  <si>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</si>
  <si>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</si>
  <si>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</si>
  <si>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</si>
  <si>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</si>
  <si>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</si>
  <si>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</si>
  <si>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</si>
  <si>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</si>
  <si>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</si>
  <si>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</si>
  <si>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</si>
  <si>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</si>
  <si>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</si>
  <si>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</si>
  <si>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</si>
  <si>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</si>
  <si>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</si>
  <si>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</si>
  <si>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</si>
  <si>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</si>
  <si>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</si>
  <si>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</si>
  <si>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</si>
  <si>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</si>
  <si>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</si>
  <si>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</si>
  <si>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</si>
  <si>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</si>
  <si>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</si>
  <si>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</si>
  <si>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</si>
  <si>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</si>
  <si>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</si>
  <si>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</si>
  <si>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</si>
  <si>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</si>
  <si>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</si>
  <si>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</si>
  <si>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</si>
  <si>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</si>
  <si>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</si>
  <si>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</si>
  <si>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</si>
  <si>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</si>
  <si>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</si>
  <si>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</si>
  <si>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</si>
  <si>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</si>
  <si>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</si>
  <si>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</si>
  <si>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</si>
  <si>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</si>
  <si>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</si>
  <si>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</si>
  <si>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</si>
  <si>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</si>
  <si>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</si>
  <si>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</si>
  <si>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</si>
  <si>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</si>
  <si>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</si>
  <si>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</si>
  <si>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</si>
  <si>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</si>
  <si>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</si>
  <si>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</si>
  <si>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</si>
  <si>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</si>
  <si>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</si>
  <si>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</si>
  <si>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</si>
  <si>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</si>
  <si>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</si>
  <si>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</si>
  <si>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</si>
  <si>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</si>
  <si>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</si>
  <si>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</si>
  <si>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</si>
  <si>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</si>
  <si>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</si>
  <si>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</si>
  <si>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</si>
  <si>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</si>
  <si>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</si>
  <si>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</si>
  <si>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</si>
  <si>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</si>
  <si>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</si>
  <si>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</si>
  <si>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</si>
  <si>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</si>
  <si>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</si>
  <si>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</si>
  <si>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</si>
  <si>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</si>
  <si>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</si>
  <si>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</si>
  <si>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</si>
  <si>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</si>
  <si>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</si>
  <si>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</si>
  <si>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</si>
  <si>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</si>
  <si>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</si>
  <si>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</si>
  <si>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</si>
  <si>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</si>
  <si>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</si>
  <si>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</si>
  <si>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</si>
  <si>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</si>
  <si>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</si>
  <si>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Net</t>
  </si>
  <si>
    <t>Sales</t>
  </si>
  <si>
    <t>Gross Profit</t>
  </si>
  <si>
    <t>Operating Expenses</t>
  </si>
  <si>
    <t>Balance Sheet</t>
  </si>
  <si>
    <t>Margins as a % of net sales</t>
  </si>
  <si>
    <t>Current Assets / Daily Operational Expenses where Daily Operational Expenses = (Annual Operating Expenses - Noncash Charges) / 365</t>
  </si>
  <si>
    <t>Inventory Days + Receivable Days - Payable Days</t>
  </si>
  <si>
    <t>Operating Income</t>
  </si>
  <si>
    <t>For the numerator include only term debt (under non-current liabilities), since differed revenue is not an actual form of capital</t>
  </si>
  <si>
    <t>For the numerator include only term debt under non-current liabilities</t>
  </si>
  <si>
    <t>For the debt value consider only term debt (under non-current liabilities), since differed revenue is not an actual form of capital</t>
  </si>
  <si>
    <t>EBIT/ (Interest + Debt repayment) debt repayment can be found in cash flow statement</t>
  </si>
  <si>
    <t>FCFE/Diluted number of shares</t>
  </si>
  <si>
    <t>Cash from operations + Capex + Net debt issued</t>
  </si>
  <si>
    <t>Total Equity/Diluted number of shares</t>
  </si>
  <si>
    <t>Dividend Paid / Net Income</t>
  </si>
  <si>
    <t>Dividend Paid (in cash flow)/ Diluted number of shares</t>
  </si>
  <si>
    <t>Dividend Per Share / Share Price</t>
  </si>
  <si>
    <t>EBIT / (Term debt + total equity)</t>
  </si>
  <si>
    <t>Divide the share count by 1000 and remove the term debt value under current labilities from the formula</t>
  </si>
  <si>
    <t>Feedback</t>
  </si>
  <si>
    <t>Remove multiplication by 100 and use the % formatting instead</t>
  </si>
  <si>
    <t>Capex can be found in cash flow statement, purchase of PPE. Link it with - sign to remove the negative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</si>
</sst>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4" fontId="0" fillId="0" borderId="0" xfId="1" applyNumberFormat="1" applyFont="1"/>
    <xf numFmtId="164" fontId="2" fillId="0" borderId="1" xfId="1" applyNumberFormat="1" applyFont="1" applyBorder="1"/>
    <xf numFmtId="164" fontId="2" fillId="0" borderId="2" xfId="1" applyNumberFormat="1" applyFont="1" applyBorder="1"/>
    <xf numFmtId="164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5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4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0" fontId="0" fillId="0" borderId="0" xfId="0" applyAlignment="1">
      <alignment horizontal="left"/>
    </xf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left"/>
    </xf>
    <xf numFmtId="43" fontId="0" fillId="0" borderId="0" xfId="1" applyFon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0" fillId="5" borderId="0" xfId="0" applyFill="1"/>
    <xf numFmtId="0" fontId="10" fillId="5" borderId="0" xfId="0" applyFont="1" applyFill="1" applyAlignment="1">
      <alignment horizontal="center"/>
    </xf>
    <xf numFmtId="0" fontId="0" fillId="5" borderId="0" xfId="0" applyFont="1" applyFill="1"/>
    <xf numFmtId="0" fontId="3" fillId="5" borderId="0" xfId="0" applyFont="1" applyFill="1" applyAlignment="1">
      <alignment horizontal="center"/>
    </xf>
    <xf numFmtId="0" fontId="2" fillId="5" borderId="0" xfId="0" applyFont="1" applyFill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topLeftCell="A9" workbookViewId="0">
      <selection activeCell="A29" sqref="A29"/>
    </sheetView>
  </sheetViews>
  <sheetFormatPr baseColWidth="10" defaultColWidth="8.83203125" defaultRowHeight="15" x14ac:dyDescent="0.2"/>
  <cols>
    <col min="1" max="1" width="104.5" customWidth="1"/>
  </cols>
  <sheetData>
    <row r="1" spans="1:1" ht="24" x14ac:dyDescent="0.3">
      <c r="A1" s="5" t="s">
        <v>87</v>
      </c>
    </row>
    <row r="3" spans="1:1" x14ac:dyDescent="0.2">
      <c r="A3" s="7" t="s">
        <v>141</v>
      </c>
    </row>
    <row r="4" spans="1:1" x14ac:dyDescent="0.2">
      <c r="A4" s="16" t="s">
        <v>88</v>
      </c>
    </row>
    <row r="5" spans="1:1" x14ac:dyDescent="0.2">
      <c r="A5" s="25" t="s">
        <v>97</v>
      </c>
    </row>
    <row r="6" spans="1:1" x14ac:dyDescent="0.2">
      <c r="A6" s="1" t="s">
        <v>148</v>
      </c>
    </row>
    <row r="7" spans="1:1" x14ac:dyDescent="0.2">
      <c r="A7" s="1"/>
    </row>
    <row r="8" spans="1:1" x14ac:dyDescent="0.2">
      <c r="A8" s="26" t="s">
        <v>149</v>
      </c>
    </row>
    <row r="9" spans="1:1" x14ac:dyDescent="0.2">
      <c r="A9" s="1" t="s">
        <v>145</v>
      </c>
    </row>
    <row r="10" spans="1:1" x14ac:dyDescent="0.2">
      <c r="A10" s="1" t="s">
        <v>89</v>
      </c>
    </row>
    <row r="11" spans="1:1" x14ac:dyDescent="0.2">
      <c r="A11" s="1" t="s">
        <v>90</v>
      </c>
    </row>
    <row r="12" spans="1:1" x14ac:dyDescent="0.2">
      <c r="A12" s="1" t="s">
        <v>91</v>
      </c>
    </row>
    <row r="13" spans="1:1" x14ac:dyDescent="0.2">
      <c r="A13" s="1"/>
    </row>
    <row r="14" spans="1:1" x14ac:dyDescent="0.2">
      <c r="A14" s="26" t="s">
        <v>92</v>
      </c>
    </row>
    <row r="15" spans="1:1" x14ac:dyDescent="0.2">
      <c r="A15" s="1" t="s">
        <v>146</v>
      </c>
    </row>
    <row r="16" spans="1:1" x14ac:dyDescent="0.2">
      <c r="A16" s="1" t="s">
        <v>89</v>
      </c>
    </row>
    <row r="17" spans="1:1" x14ac:dyDescent="0.2">
      <c r="A17" s="1" t="s">
        <v>90</v>
      </c>
    </row>
    <row r="18" spans="1:1" x14ac:dyDescent="0.2">
      <c r="A18" s="1" t="s">
        <v>14</v>
      </c>
    </row>
    <row r="19" spans="1:1" x14ac:dyDescent="0.2">
      <c r="A19" s="1" t="s">
        <v>93</v>
      </c>
    </row>
    <row r="20" spans="1:1" x14ac:dyDescent="0.2">
      <c r="A20" s="1"/>
    </row>
    <row r="21" spans="1:1" x14ac:dyDescent="0.2">
      <c r="A21" s="17" t="s">
        <v>98</v>
      </c>
    </row>
    <row r="22" spans="1:1" x14ac:dyDescent="0.2">
      <c r="A22" s="1" t="s">
        <v>94</v>
      </c>
    </row>
    <row r="23" spans="1:1" x14ac:dyDescent="0.2">
      <c r="A23" s="1" t="s">
        <v>95</v>
      </c>
    </row>
    <row r="24" spans="1:1" x14ac:dyDescent="0.2">
      <c r="A24" s="1" t="s">
        <v>96</v>
      </c>
    </row>
    <row r="25" spans="1:1" x14ac:dyDescent="0.2">
      <c r="A25" s="1"/>
    </row>
    <row r="26" spans="1:1" x14ac:dyDescent="0.2">
      <c r="A26" s="17" t="s">
        <v>144</v>
      </c>
    </row>
    <row r="27" spans="1:1" x14ac:dyDescent="0.2">
      <c r="A27" s="16" t="s">
        <v>143</v>
      </c>
    </row>
    <row r="29" spans="1:1" x14ac:dyDescent="0.2">
      <c r="A29" s="7" t="s">
        <v>147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4"/>
  <sheetViews>
    <sheetView topLeftCell="A102" workbookViewId="0">
      <selection activeCell="D62" sqref="D62"/>
    </sheetView>
  </sheetViews>
  <sheetFormatPr baseColWidth="10" defaultColWidth="8.83203125" defaultRowHeight="15" x14ac:dyDescent="0.2"/>
  <cols>
    <col min="1" max="1" width="59" customWidth="1"/>
    <col min="2" max="3" width="11.5" bestFit="1" customWidth="1"/>
    <col min="4" max="4" width="11.6640625" bestFit="1" customWidth="1"/>
  </cols>
  <sheetData>
    <row r="1" spans="1:10" ht="60" customHeight="1" x14ac:dyDescent="0.2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2">
      <c r="A2" s="29" t="s">
        <v>1</v>
      </c>
      <c r="B2" s="29"/>
      <c r="C2" s="29"/>
      <c r="D2" s="29"/>
    </row>
    <row r="3" spans="1:10" x14ac:dyDescent="0.2">
      <c r="B3" s="28" t="s">
        <v>23</v>
      </c>
      <c r="C3" s="28"/>
      <c r="D3" s="28"/>
    </row>
    <row r="4" spans="1:10" x14ac:dyDescent="0.2">
      <c r="B4" s="7">
        <v>2022</v>
      </c>
      <c r="C4" s="7">
        <v>2021</v>
      </c>
      <c r="D4" s="7">
        <v>2020</v>
      </c>
    </row>
    <row r="5" spans="1:10" x14ac:dyDescent="0.2">
      <c r="A5" t="s">
        <v>3</v>
      </c>
    </row>
    <row r="6" spans="1:10" x14ac:dyDescent="0.2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2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2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 x14ac:dyDescent="0.2">
      <c r="A9" t="s">
        <v>7</v>
      </c>
      <c r="B9" s="12"/>
      <c r="C9" s="12"/>
      <c r="D9" s="12"/>
    </row>
    <row r="10" spans="1:10" x14ac:dyDescent="0.2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2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2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 x14ac:dyDescent="0.2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0" x14ac:dyDescent="0.2">
      <c r="A14" t="s">
        <v>10</v>
      </c>
      <c r="B14" s="12"/>
      <c r="C14" s="12"/>
      <c r="D14" s="12"/>
    </row>
    <row r="15" spans="1:10" x14ac:dyDescent="0.2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2">
      <c r="A16" s="1" t="s">
        <v>12</v>
      </c>
      <c r="B16" s="12">
        <v>25094</v>
      </c>
      <c r="C16" s="12">
        <v>21973</v>
      </c>
      <c r="D16" s="12">
        <v>19916</v>
      </c>
    </row>
    <row r="17" spans="1:4" x14ac:dyDescent="0.2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4" s="7" customFormat="1" x14ac:dyDescent="0.2">
      <c r="A18" s="8" t="s">
        <v>14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4" x14ac:dyDescent="0.2">
      <c r="A19" t="s">
        <v>15</v>
      </c>
      <c r="B19" s="12">
        <v>-334</v>
      </c>
      <c r="C19" s="12">
        <v>258</v>
      </c>
      <c r="D19" s="12">
        <v>803</v>
      </c>
    </row>
    <row r="20" spans="1:4" x14ac:dyDescent="0.2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4" x14ac:dyDescent="0.2">
      <c r="A21" t="s">
        <v>17</v>
      </c>
      <c r="B21" s="12">
        <v>19300</v>
      </c>
      <c r="C21" s="12">
        <v>14527</v>
      </c>
      <c r="D21" s="12">
        <v>9680</v>
      </c>
    </row>
    <row r="22" spans="1:4" ht="16" thickBot="1" x14ac:dyDescent="0.25">
      <c r="A22" s="9" t="s">
        <v>18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</row>
    <row r="23" spans="1:4" ht="16" thickTop="1" x14ac:dyDescent="0.2">
      <c r="A23" t="s">
        <v>19</v>
      </c>
    </row>
    <row r="24" spans="1:4" x14ac:dyDescent="0.2">
      <c r="A24" s="1" t="s">
        <v>20</v>
      </c>
      <c r="B24" s="10">
        <v>6.15</v>
      </c>
      <c r="C24" s="10">
        <v>5.67</v>
      </c>
      <c r="D24" s="10">
        <v>3.31</v>
      </c>
    </row>
    <row r="25" spans="1:4" x14ac:dyDescent="0.2">
      <c r="A25" s="1" t="s">
        <v>21</v>
      </c>
      <c r="B25" s="10">
        <v>6.11</v>
      </c>
      <c r="C25" s="10">
        <v>5.61</v>
      </c>
      <c r="D25" s="10">
        <v>3.28</v>
      </c>
    </row>
    <row r="26" spans="1:4" x14ac:dyDescent="0.2">
      <c r="A26" t="s">
        <v>22</v>
      </c>
    </row>
    <row r="27" spans="1:4" x14ac:dyDescent="0.2">
      <c r="A27" s="1" t="s">
        <v>20</v>
      </c>
      <c r="B27" s="2">
        <v>16215963</v>
      </c>
      <c r="C27" s="2">
        <v>16701272</v>
      </c>
      <c r="D27" s="2">
        <v>17352119</v>
      </c>
    </row>
    <row r="28" spans="1:4" x14ac:dyDescent="0.2">
      <c r="A28" s="1" t="s">
        <v>21</v>
      </c>
      <c r="B28" s="2">
        <v>16325819</v>
      </c>
      <c r="C28" s="2">
        <v>16864919</v>
      </c>
      <c r="D28" s="2">
        <v>17528214</v>
      </c>
    </row>
    <row r="31" spans="1:4" x14ac:dyDescent="0.2">
      <c r="A31" s="29" t="s">
        <v>24</v>
      </c>
      <c r="B31" s="29"/>
      <c r="C31" s="29"/>
      <c r="D31" s="29"/>
    </row>
    <row r="32" spans="1:4" x14ac:dyDescent="0.2">
      <c r="B32" s="28" t="s">
        <v>142</v>
      </c>
      <c r="C32" s="28"/>
      <c r="D32" s="28"/>
    </row>
    <row r="33" spans="1:4" x14ac:dyDescent="0.2">
      <c r="B33" s="7">
        <f>+B4</f>
        <v>2022</v>
      </c>
      <c r="C33" s="7">
        <f t="shared" ref="C33:D33" si="8">+C4</f>
        <v>2021</v>
      </c>
      <c r="D33" s="7">
        <f t="shared" si="8"/>
        <v>2020</v>
      </c>
    </row>
    <row r="35" spans="1:4" x14ac:dyDescent="0.2">
      <c r="A35" t="s">
        <v>25</v>
      </c>
    </row>
    <row r="36" spans="1:4" x14ac:dyDescent="0.2">
      <c r="A36" s="1" t="s">
        <v>26</v>
      </c>
      <c r="B36" s="12">
        <v>23646</v>
      </c>
      <c r="C36" s="12">
        <v>34940</v>
      </c>
      <c r="D36" s="12">
        <v>38016</v>
      </c>
    </row>
    <row r="37" spans="1:4" x14ac:dyDescent="0.2">
      <c r="A37" s="1" t="s">
        <v>27</v>
      </c>
      <c r="B37" s="12">
        <v>24658</v>
      </c>
      <c r="C37" s="12">
        <v>27699</v>
      </c>
      <c r="D37" s="12">
        <v>52927</v>
      </c>
    </row>
    <row r="38" spans="1:4" x14ac:dyDescent="0.2">
      <c r="A38" s="1" t="s">
        <v>28</v>
      </c>
      <c r="B38" s="12">
        <v>28184</v>
      </c>
      <c r="C38" s="12">
        <v>26278</v>
      </c>
      <c r="D38" s="12">
        <v>16120</v>
      </c>
    </row>
    <row r="39" spans="1:4" x14ac:dyDescent="0.2">
      <c r="A39" s="1" t="s">
        <v>29</v>
      </c>
      <c r="B39" s="12">
        <v>4946</v>
      </c>
      <c r="C39" s="12">
        <v>6580</v>
      </c>
      <c r="D39" s="12">
        <v>4061</v>
      </c>
    </row>
    <row r="40" spans="1:4" x14ac:dyDescent="0.2">
      <c r="A40" s="1" t="s">
        <v>47</v>
      </c>
      <c r="B40" s="12">
        <v>32748</v>
      </c>
      <c r="C40" s="12">
        <v>25228</v>
      </c>
      <c r="D40" s="12">
        <v>21325</v>
      </c>
    </row>
    <row r="41" spans="1:4" x14ac:dyDescent="0.2">
      <c r="A41" s="1" t="s">
        <v>30</v>
      </c>
      <c r="B41" s="12">
        <v>21223</v>
      </c>
      <c r="C41" s="12">
        <v>14111</v>
      </c>
      <c r="D41" s="12">
        <v>11264</v>
      </c>
    </row>
    <row r="42" spans="1:4" x14ac:dyDescent="0.2">
      <c r="A42" s="8" t="s">
        <v>31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</row>
    <row r="43" spans="1:4" x14ac:dyDescent="0.2">
      <c r="A43" t="s">
        <v>48</v>
      </c>
      <c r="B43" s="12"/>
      <c r="C43" s="12"/>
      <c r="D43" s="12"/>
    </row>
    <row r="44" spans="1:4" x14ac:dyDescent="0.2">
      <c r="A44" s="1" t="s">
        <v>27</v>
      </c>
      <c r="B44" s="12">
        <v>120805</v>
      </c>
      <c r="C44" s="12">
        <v>127877</v>
      </c>
      <c r="D44" s="12">
        <v>100887</v>
      </c>
    </row>
    <row r="45" spans="1:4" x14ac:dyDescent="0.2">
      <c r="A45" s="1" t="s">
        <v>32</v>
      </c>
      <c r="B45" s="12">
        <v>42117</v>
      </c>
      <c r="C45" s="12">
        <v>39440</v>
      </c>
      <c r="D45" s="12">
        <v>36766</v>
      </c>
    </row>
    <row r="46" spans="1:4" x14ac:dyDescent="0.2">
      <c r="A46" s="1" t="s">
        <v>49</v>
      </c>
      <c r="B46" s="12">
        <v>54428</v>
      </c>
      <c r="C46" s="12">
        <v>48849</v>
      </c>
      <c r="D46" s="12">
        <v>42522</v>
      </c>
    </row>
    <row r="47" spans="1:4" x14ac:dyDescent="0.2">
      <c r="A47" s="8" t="s">
        <v>50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</row>
    <row r="48" spans="1:4" ht="16" thickBot="1" x14ac:dyDescent="0.25">
      <c r="A48" s="9" t="s">
        <v>33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</row>
    <row r="49" spans="1:4" ht="16" thickTop="1" x14ac:dyDescent="0.2"/>
    <row r="50" spans="1:4" x14ac:dyDescent="0.2">
      <c r="A50" t="s">
        <v>34</v>
      </c>
    </row>
    <row r="51" spans="1:4" x14ac:dyDescent="0.2">
      <c r="A51" s="1" t="s">
        <v>35</v>
      </c>
      <c r="B51" s="12">
        <v>64115</v>
      </c>
      <c r="C51" s="12">
        <v>54763</v>
      </c>
      <c r="D51" s="12">
        <v>42296</v>
      </c>
    </row>
    <row r="52" spans="1:4" x14ac:dyDescent="0.2">
      <c r="A52" s="1" t="s">
        <v>36</v>
      </c>
      <c r="B52" s="12">
        <v>60845</v>
      </c>
      <c r="C52" s="12">
        <v>47493</v>
      </c>
      <c r="D52" s="12">
        <v>42684</v>
      </c>
    </row>
    <row r="53" spans="1:4" x14ac:dyDescent="0.2">
      <c r="A53" s="1" t="s">
        <v>37</v>
      </c>
      <c r="B53" s="12">
        <v>7912</v>
      </c>
      <c r="C53" s="12">
        <v>7612</v>
      </c>
      <c r="D53" s="12">
        <v>6643</v>
      </c>
    </row>
    <row r="54" spans="1:4" x14ac:dyDescent="0.2">
      <c r="A54" s="1" t="s">
        <v>38</v>
      </c>
      <c r="B54" s="12">
        <v>9982</v>
      </c>
      <c r="C54" s="12">
        <v>6000</v>
      </c>
      <c r="D54" s="12">
        <v>4996</v>
      </c>
    </row>
    <row r="55" spans="1:4" x14ac:dyDescent="0.2">
      <c r="A55" s="1" t="s">
        <v>39</v>
      </c>
      <c r="B55" s="12">
        <v>11128</v>
      </c>
      <c r="C55" s="12">
        <v>9613</v>
      </c>
      <c r="D55" s="12">
        <v>8773</v>
      </c>
    </row>
    <row r="56" spans="1:4" x14ac:dyDescent="0.2">
      <c r="A56" s="8" t="s">
        <v>40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</row>
    <row r="57" spans="1:4" x14ac:dyDescent="0.2">
      <c r="A57" t="s">
        <v>51</v>
      </c>
      <c r="B57" s="12"/>
      <c r="C57" s="12"/>
      <c r="D57" s="12"/>
    </row>
    <row r="58" spans="1:4" x14ac:dyDescent="0.2">
      <c r="A58" s="1" t="s">
        <v>37</v>
      </c>
      <c r="B58" s="12"/>
      <c r="C58" s="12"/>
      <c r="D58" s="12"/>
    </row>
    <row r="59" spans="1:4" x14ac:dyDescent="0.2">
      <c r="A59" s="1" t="s">
        <v>39</v>
      </c>
      <c r="B59" s="12">
        <v>98959</v>
      </c>
      <c r="C59" s="12">
        <v>109106</v>
      </c>
      <c r="D59" s="12">
        <v>98667</v>
      </c>
    </row>
    <row r="60" spans="1:4" x14ac:dyDescent="0.2">
      <c r="A60" s="1" t="s">
        <v>52</v>
      </c>
      <c r="B60" s="12">
        <v>49142</v>
      </c>
      <c r="C60" s="12">
        <v>53325</v>
      </c>
      <c r="D60" s="12">
        <v>54490</v>
      </c>
    </row>
    <row r="61" spans="1:4" x14ac:dyDescent="0.2">
      <c r="A61" s="22" t="s">
        <v>53</v>
      </c>
      <c r="B61" s="21">
        <f>+B59+B60</f>
        <v>148101</v>
      </c>
      <c r="C61" s="21">
        <f t="shared" ref="C61:D61" si="13">+C59+C60</f>
        <v>162431</v>
      </c>
      <c r="D61" s="21">
        <f t="shared" si="13"/>
        <v>153157</v>
      </c>
    </row>
    <row r="62" spans="1:4" x14ac:dyDescent="0.2">
      <c r="A62" s="8" t="s">
        <v>41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</row>
    <row r="63" spans="1:4" x14ac:dyDescent="0.2">
      <c r="B63" s="12"/>
      <c r="C63" s="12"/>
      <c r="D63" s="12"/>
    </row>
    <row r="64" spans="1:4" x14ac:dyDescent="0.2">
      <c r="A64" t="s">
        <v>42</v>
      </c>
      <c r="B64" s="12"/>
      <c r="C64" s="12"/>
      <c r="D64" s="12"/>
    </row>
    <row r="65" spans="1:4" x14ac:dyDescent="0.2">
      <c r="A65" s="1" t="s">
        <v>54</v>
      </c>
      <c r="B65" s="12">
        <v>64849</v>
      </c>
      <c r="C65" s="12">
        <v>57365</v>
      </c>
      <c r="D65" s="12">
        <v>50779</v>
      </c>
    </row>
    <row r="66" spans="1:4" x14ac:dyDescent="0.2">
      <c r="A66" s="1" t="s">
        <v>43</v>
      </c>
      <c r="B66" s="12">
        <v>-3068</v>
      </c>
      <c r="C66" s="12">
        <v>5562</v>
      </c>
      <c r="D66" s="12">
        <v>14966</v>
      </c>
    </row>
    <row r="67" spans="1:4" x14ac:dyDescent="0.2">
      <c r="A67" s="1" t="s">
        <v>44</v>
      </c>
      <c r="B67" s="12">
        <v>-11109</v>
      </c>
      <c r="C67" s="12">
        <v>163</v>
      </c>
      <c r="D67" s="12">
        <v>-406</v>
      </c>
    </row>
    <row r="68" spans="1:4" x14ac:dyDescent="0.2">
      <c r="A68" s="8" t="s">
        <v>45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</row>
    <row r="69" spans="1:4" ht="16" thickBot="1" x14ac:dyDescent="0.25">
      <c r="A69" s="9" t="s">
        <v>46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</row>
    <row r="70" spans="1:4" ht="16" thickTop="1" x14ac:dyDescent="0.2"/>
    <row r="71" spans="1:4" x14ac:dyDescent="0.2">
      <c r="A71" s="29" t="s">
        <v>55</v>
      </c>
      <c r="B71" s="29"/>
      <c r="C71" s="29"/>
      <c r="D71" s="29"/>
    </row>
    <row r="72" spans="1:4" x14ac:dyDescent="0.2">
      <c r="B72" s="28" t="s">
        <v>23</v>
      </c>
      <c r="C72" s="28"/>
      <c r="D72" s="28"/>
    </row>
    <row r="73" spans="1:4" x14ac:dyDescent="0.2">
      <c r="B73" s="7">
        <f>+B33</f>
        <v>2022</v>
      </c>
      <c r="C73" s="7">
        <f t="shared" ref="C73:D73" si="17">+C33</f>
        <v>2021</v>
      </c>
      <c r="D73" s="7">
        <f t="shared" si="17"/>
        <v>2020</v>
      </c>
    </row>
    <row r="75" spans="1:4" x14ac:dyDescent="0.2">
      <c r="A75" s="7" t="s">
        <v>56</v>
      </c>
      <c r="B75" s="15"/>
      <c r="C75" s="15"/>
      <c r="D75" s="15"/>
    </row>
    <row r="76" spans="1:4" x14ac:dyDescent="0.2">
      <c r="A76" t="s">
        <v>57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</row>
    <row r="77" spans="1:4" x14ac:dyDescent="0.2">
      <c r="A77" s="11" t="s">
        <v>18</v>
      </c>
      <c r="B77" s="15"/>
      <c r="C77" s="15"/>
      <c r="D77" s="15"/>
    </row>
    <row r="78" spans="1:4" x14ac:dyDescent="0.2">
      <c r="A78" s="1" t="s">
        <v>58</v>
      </c>
      <c r="B78" s="12"/>
      <c r="C78" s="12"/>
      <c r="D78" s="12"/>
    </row>
    <row r="79" spans="1:4" x14ac:dyDescent="0.2">
      <c r="A79" s="3" t="s">
        <v>59</v>
      </c>
      <c r="B79" s="12">
        <v>11104</v>
      </c>
      <c r="C79" s="12">
        <v>11284</v>
      </c>
      <c r="D79" s="12">
        <v>11056</v>
      </c>
    </row>
    <row r="80" spans="1:4" x14ac:dyDescent="0.2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2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2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2">
      <c r="A83" t="s">
        <v>62</v>
      </c>
      <c r="B83" s="12"/>
      <c r="C83" s="12"/>
      <c r="D83" s="12"/>
    </row>
    <row r="84" spans="1:4" x14ac:dyDescent="0.2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2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2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2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2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2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2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2">
      <c r="A91" s="8" t="s">
        <v>63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</row>
    <row r="92" spans="1:4" x14ac:dyDescent="0.2">
      <c r="A92" s="7" t="s">
        <v>64</v>
      </c>
      <c r="B92" s="12"/>
      <c r="C92" s="12"/>
      <c r="D92" s="12"/>
    </row>
    <row r="93" spans="1:4" x14ac:dyDescent="0.2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2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2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2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2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2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2">
      <c r="A99" s="8" t="s">
        <v>70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</row>
    <row r="100" spans="1:4" x14ac:dyDescent="0.2">
      <c r="A100" s="7" t="s">
        <v>71</v>
      </c>
      <c r="B100" s="12"/>
      <c r="C100" s="12"/>
      <c r="D100" s="12"/>
    </row>
    <row r="101" spans="1:4" x14ac:dyDescent="0.2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2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2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2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2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2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2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2">
      <c r="A108" s="8" t="s">
        <v>77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4" x14ac:dyDescent="0.2">
      <c r="A109" s="8" t="s">
        <v>78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4" ht="16" thickBot="1" x14ac:dyDescent="0.25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6" thickTop="1" x14ac:dyDescent="0.2">
      <c r="B111" s="12"/>
      <c r="C111" s="12"/>
      <c r="D111" s="12"/>
    </row>
    <row r="112" spans="1:4" x14ac:dyDescent="0.2">
      <c r="A112" t="s">
        <v>80</v>
      </c>
      <c r="B112" s="12"/>
      <c r="C112" s="12"/>
      <c r="D112" s="12"/>
    </row>
    <row r="113" spans="1:4" x14ac:dyDescent="0.2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2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1"/>
  <sheetViews>
    <sheetView workbookViewId="0">
      <selection activeCell="F1" sqref="F1:F1048576"/>
    </sheetView>
  </sheetViews>
  <sheetFormatPr baseColWidth="10" defaultColWidth="8.83203125" defaultRowHeight="15" x14ac:dyDescent="0.2"/>
  <cols>
    <col min="1" max="1" width="4.6640625" customWidth="1"/>
    <col min="2" max="2" width="44.83203125" customWidth="1"/>
    <col min="3" max="3" width="16.1640625" bestFit="1" customWidth="1"/>
    <col min="4" max="4" width="15.33203125" customWidth="1"/>
    <col min="5" max="5" width="16.1640625" bestFit="1" customWidth="1"/>
    <col min="6" max="6" width="28.1640625" style="32" customWidth="1"/>
    <col min="8" max="8" width="19" customWidth="1"/>
  </cols>
  <sheetData>
    <row r="1" spans="1:11" ht="60" customHeight="1" x14ac:dyDescent="0.3">
      <c r="A1" s="6"/>
      <c r="B1" s="20" t="s">
        <v>0</v>
      </c>
      <c r="C1" s="19"/>
      <c r="D1" s="19"/>
      <c r="E1" s="19"/>
      <c r="F1" s="31" t="s">
        <v>171</v>
      </c>
      <c r="G1" s="19"/>
      <c r="H1" s="20"/>
      <c r="I1" s="19"/>
      <c r="J1" s="19"/>
      <c r="K1" s="19"/>
    </row>
    <row r="2" spans="1:11" x14ac:dyDescent="0.2">
      <c r="C2" s="28" t="s">
        <v>23</v>
      </c>
      <c r="D2" s="28"/>
      <c r="E2" s="28"/>
    </row>
    <row r="3" spans="1:11" x14ac:dyDescent="0.2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  <c r="H3" s="24">
        <v>2023</v>
      </c>
    </row>
    <row r="4" spans="1:11" x14ac:dyDescent="0.2">
      <c r="A4" s="18">
        <v>1</v>
      </c>
      <c r="B4" s="7" t="s">
        <v>99</v>
      </c>
      <c r="H4" s="7"/>
    </row>
    <row r="5" spans="1:11" x14ac:dyDescent="0.2">
      <c r="A5" s="18">
        <f>+A4+0.1</f>
        <v>1.1000000000000001</v>
      </c>
      <c r="B5" s="1" t="s">
        <v>100</v>
      </c>
      <c r="C5" s="27">
        <f>'Financial Statements'!B42/'Financial Statements'!B56</f>
        <v>0.87935602862672257</v>
      </c>
      <c r="D5" s="27">
        <f>'Financial Statements'!C42/'Financial Statements'!C56</f>
        <v>1.0745531195957954</v>
      </c>
      <c r="E5" s="27">
        <f>'Financial Statements'!D42/'Financial Statements'!D56</f>
        <v>1.3636044481554577</v>
      </c>
      <c r="H5" s="23">
        <v>0.98801167000000001</v>
      </c>
    </row>
    <row r="6" spans="1:11" x14ac:dyDescent="0.2">
      <c r="A6" s="18">
        <f t="shared" ref="A6:A13" si="0">+A5+0.1</f>
        <v>1.2000000000000002</v>
      </c>
      <c r="B6" s="1" t="s">
        <v>101</v>
      </c>
      <c r="C6" s="27">
        <f>('Financial Statements'!B42-'Financial Statements'!B39)/'Financial Statements'!B56</f>
        <v>0.84723539114961488</v>
      </c>
      <c r="D6" s="27">
        <f>('Financial Statements'!C42-'Financial Statements'!C39)/'Financial Statements'!C56</f>
        <v>1.0221149018576519</v>
      </c>
      <c r="E6" s="27">
        <f>('Financial Statements'!D42-'Financial Statements'!D39)/'Financial Statements'!D56</f>
        <v>1.325072111735236</v>
      </c>
      <c r="H6" s="23">
        <v>0.94444214999999998</v>
      </c>
    </row>
    <row r="7" spans="1:11" x14ac:dyDescent="0.2">
      <c r="A7" s="18">
        <f t="shared" si="0"/>
        <v>1.3000000000000003</v>
      </c>
      <c r="B7" s="1" t="s">
        <v>102</v>
      </c>
      <c r="C7" s="27">
        <f>'Financial Statements'!B36/'Financial Statements'!B56</f>
        <v>0.15356340351469652</v>
      </c>
      <c r="D7" s="27">
        <f>'Financial Statements'!C36/'Financial Statements'!C56</f>
        <v>0.27844853005634318</v>
      </c>
      <c r="E7" s="27">
        <f>'Financial Statements'!D36/'Financial Statements'!D56</f>
        <v>0.36071049035979963</v>
      </c>
      <c r="H7" s="23">
        <v>0.20621713999999999</v>
      </c>
    </row>
    <row r="8" spans="1:11" x14ac:dyDescent="0.2">
      <c r="A8" s="18">
        <f t="shared" si="0"/>
        <v>1.4000000000000004</v>
      </c>
      <c r="B8" s="1" t="s">
        <v>103</v>
      </c>
      <c r="C8" s="27">
        <f>('Financial Statements'!B36+'Financial Statements'!B37+'Financial Statements'!B38)/(('Financial Statements'!B12+'Financial Statements'!B17-'Financial Statements'!B79)/365)</f>
        <v>105.83584482935096</v>
      </c>
      <c r="D8" s="27">
        <f>('Financial Statements'!C36+'Financial Statements'!C37+'Financial Statements'!C38)/(('Financial Statements'!C12+'Financial Statements'!C17-'Financial Statements'!C79)/365)</f>
        <v>132.1531736595218</v>
      </c>
      <c r="E8" s="27">
        <f>('Financial Statements'!D36+'Financial Statements'!D37+'Financial Statements'!D38)/(('Financial Statements'!D12+'Financial Statements'!D17-'Financial Statements'!D79)/365)</f>
        <v>198.19342093918476</v>
      </c>
      <c r="F8" s="32" t="s">
        <v>156</v>
      </c>
      <c r="H8" s="23">
        <v>651.59762799999999</v>
      </c>
    </row>
    <row r="9" spans="1:11" x14ac:dyDescent="0.2">
      <c r="A9" s="18">
        <f t="shared" si="0"/>
        <v>1.5000000000000004</v>
      </c>
      <c r="B9" s="1" t="s">
        <v>104</v>
      </c>
      <c r="C9" s="27">
        <f>365/('Financial Statements'!B10/'Financial Statements'!B39)</f>
        <v>8.9605451901266182</v>
      </c>
      <c r="D9" s="27">
        <f>365/('Financial Statements'!C10/'Financial Statements'!C39)</f>
        <v>12.491548167642746</v>
      </c>
      <c r="E9" s="27">
        <f>365/('Financial Statements'!D10/'Financial Statements'!D39)</f>
        <v>9.797767143027114</v>
      </c>
      <c r="H9" s="23">
        <v>54.262316300000002</v>
      </c>
    </row>
    <row r="10" spans="1:11" x14ac:dyDescent="0.2">
      <c r="A10" s="18">
        <f t="shared" si="0"/>
        <v>1.6000000000000005</v>
      </c>
      <c r="B10" s="1" t="s">
        <v>105</v>
      </c>
      <c r="C10" s="27">
        <f>('Financial Statements'!B51*365)/'Financial Statements'!B12</f>
        <v>104.68527730310539</v>
      </c>
      <c r="D10" s="27">
        <f>('Financial Statements'!C51*365)/'Financial Statements'!C12</f>
        <v>93.85107122231561</v>
      </c>
      <c r="E10" s="27">
        <f>('Financial Statements'!D51*365)/'Financial Statements'!D12</f>
        <v>91.048189715674184</v>
      </c>
      <c r="H10" s="23">
        <v>465.71325200000001</v>
      </c>
    </row>
    <row r="11" spans="1:11" x14ac:dyDescent="0.2">
      <c r="A11" s="18">
        <f t="shared" si="0"/>
        <v>1.7000000000000006</v>
      </c>
      <c r="B11" s="1" t="s">
        <v>106</v>
      </c>
      <c r="C11" s="27">
        <f>('Financial Statements'!B38/'Financial Statements'!B8)*365</f>
        <v>26.087825363656648</v>
      </c>
      <c r="D11" s="27">
        <f>('Financial Statements'!C38/'Financial Statements'!C8)*365</f>
        <v>26.219311841713207</v>
      </c>
      <c r="E11" s="27">
        <f>('Financial Statements'!D38/'Financial Statements'!D8)*365</f>
        <v>21.433437152796749</v>
      </c>
      <c r="H11" s="23">
        <v>120.342578</v>
      </c>
    </row>
    <row r="12" spans="1:11" x14ac:dyDescent="0.2">
      <c r="A12" s="18">
        <f t="shared" si="0"/>
        <v>1.8000000000000007</v>
      </c>
      <c r="B12" s="1" t="s">
        <v>107</v>
      </c>
      <c r="C12" s="27">
        <f>(('Financial Statements'!C39+'Financial Statements'!B39)/2)+C10+C11</f>
        <v>5893.7731026667616</v>
      </c>
      <c r="D12" s="27">
        <f>(('Financial Statements'!D39+'Financial Statements'!C39)/2)+D10+D11</f>
        <v>5440.5703830640296</v>
      </c>
      <c r="E12" s="27"/>
      <c r="F12" s="32" t="s">
        <v>157</v>
      </c>
      <c r="H12" s="23">
        <v>6224.5</v>
      </c>
    </row>
    <row r="13" spans="1:11" x14ac:dyDescent="0.2">
      <c r="A13" s="18">
        <f t="shared" si="0"/>
        <v>1.9000000000000008</v>
      </c>
      <c r="B13" s="1" t="s">
        <v>108</v>
      </c>
      <c r="C13" s="27">
        <f>(C14/'Financial Statements'!B8)*100</f>
        <v>-4.7110527276784806</v>
      </c>
      <c r="D13" s="27">
        <f>(D14/'Financial Statements'!C8)*100</f>
        <v>2.5572895737486232</v>
      </c>
      <c r="E13" s="27">
        <f>(E14/'Financial Statements'!D8)*100</f>
        <v>13.959528623208204</v>
      </c>
      <c r="H13" s="23">
        <v>-1.9464122100000001</v>
      </c>
    </row>
    <row r="14" spans="1:11" x14ac:dyDescent="0.2">
      <c r="A14" s="18"/>
      <c r="B14" s="3" t="s">
        <v>109</v>
      </c>
      <c r="C14">
        <f>'Financial Statements'!B42-'Financial Statements'!B56</f>
        <v>-18577</v>
      </c>
      <c r="D14">
        <f>'Financial Statements'!C42-'Financial Statements'!C56</f>
        <v>9355</v>
      </c>
      <c r="E14">
        <f>'Financial Statements'!D42-'Financial Statements'!D56</f>
        <v>38321</v>
      </c>
      <c r="H14" s="23">
        <v>-1742</v>
      </c>
    </row>
    <row r="15" spans="1:11" x14ac:dyDescent="0.2">
      <c r="A15" s="18"/>
    </row>
    <row r="16" spans="1:11" x14ac:dyDescent="0.2">
      <c r="A16" s="18">
        <f>+A4+1</f>
        <v>2</v>
      </c>
      <c r="B16" s="17" t="s">
        <v>110</v>
      </c>
      <c r="H16" s="17"/>
    </row>
    <row r="17" spans="1:8" x14ac:dyDescent="0.2">
      <c r="A17" s="18">
        <f>+A16+0.1</f>
        <v>2.1</v>
      </c>
      <c r="B17" s="1" t="s">
        <v>9</v>
      </c>
      <c r="C17" s="27">
        <f>('Financial Statements'!B8-'Financial Statements'!B12)/'Financial Statements'!B8</f>
        <v>0.43309630561360085</v>
      </c>
      <c r="D17" s="27">
        <f>('Financial Statements'!C8-'Financial Statements'!C12)/'Financial Statements'!C8</f>
        <v>0.41779359625167778</v>
      </c>
      <c r="E17" s="27">
        <f>('Financial Statements'!D8-'Financial Statements'!D12)/'Financial Statements'!D8</f>
        <v>0.38233247727810865</v>
      </c>
      <c r="H17" s="23">
        <v>0.45170841810000001</v>
      </c>
    </row>
    <row r="18" spans="1:8" x14ac:dyDescent="0.2">
      <c r="A18" s="18">
        <f>+A17+0.1</f>
        <v>2.2000000000000002</v>
      </c>
      <c r="B18" s="1" t="s">
        <v>111</v>
      </c>
      <c r="C18" s="27">
        <f>C19/'Financial Statements'!B8</f>
        <v>0.3310467428130896</v>
      </c>
      <c r="D18" s="27">
        <f>D19/'Financial Statements'!C8</f>
        <v>0.32866979938056462</v>
      </c>
      <c r="E18" s="27">
        <f>E19/'Financial Statements'!D8</f>
        <v>0.2817478097736007</v>
      </c>
      <c r="H18" s="23">
        <v>0.7843329054</v>
      </c>
    </row>
    <row r="19" spans="1:8" x14ac:dyDescent="0.2">
      <c r="A19" s="18"/>
      <c r="B19" s="3" t="s">
        <v>112</v>
      </c>
      <c r="C19">
        <f>'Financial Statements'!B18+'Financial Statements'!B79</f>
        <v>130541</v>
      </c>
      <c r="D19">
        <f>'Financial Statements'!C18+'Financial Statements'!C79</f>
        <v>120233</v>
      </c>
      <c r="E19">
        <f>'Financial Statements'!D18+'Financial Statements'!D79</f>
        <v>77344</v>
      </c>
      <c r="H19" s="23">
        <v>38488</v>
      </c>
    </row>
    <row r="20" spans="1:8" x14ac:dyDescent="0.2">
      <c r="A20" s="18">
        <f>+A18+0.1</f>
        <v>2.3000000000000003</v>
      </c>
      <c r="B20" s="1" t="s">
        <v>113</v>
      </c>
      <c r="C20" s="27">
        <f>C21/'Financial Statements'!B8</f>
        <v>0.36945892759327259</v>
      </c>
      <c r="D20" s="27">
        <f>D21/'Financial Statements'!C8</f>
        <v>0.35772804435004385</v>
      </c>
      <c r="E20" s="27">
        <f>E21/'Financial Statements'!D8</f>
        <v>0.3097827076844617</v>
      </c>
      <c r="H20" s="23">
        <v>0.38298062500000002</v>
      </c>
    </row>
    <row r="21" spans="1:8" x14ac:dyDescent="0.2">
      <c r="A21" s="18"/>
      <c r="B21" s="3" t="s">
        <v>114</v>
      </c>
      <c r="C21">
        <f>'Financial Statements'!B8-'Financial Statements'!B12-'Financial Statements'!B16</f>
        <v>145688</v>
      </c>
      <c r="D21">
        <f>'Financial Statements'!C8-'Financial Statements'!C12-'Financial Statements'!C16</f>
        <v>130863</v>
      </c>
      <c r="E21">
        <f>'Financial Statements'!D8-'Financial Statements'!D12-'Financial Statements'!D16</f>
        <v>85040</v>
      </c>
      <c r="F21" s="32" t="s">
        <v>158</v>
      </c>
      <c r="H21" s="23">
        <v>34276</v>
      </c>
    </row>
    <row r="22" spans="1:8" x14ac:dyDescent="0.2">
      <c r="A22" s="18">
        <f>+A20+0.1</f>
        <v>2.4000000000000004</v>
      </c>
      <c r="B22" s="1" t="s">
        <v>115</v>
      </c>
      <c r="C22" s="27">
        <f>'Financial Statements'!B22/'Financial Statements'!B8</f>
        <v>0.25309640705199732</v>
      </c>
      <c r="D22" s="27">
        <f>'Financial Statements'!C22/'Financial Statements'!C8</f>
        <v>0.25881793355694238</v>
      </c>
      <c r="E22" s="27">
        <f>'Financial Statements'!D22/'Financial Statements'!D8</f>
        <v>0.20913611278072236</v>
      </c>
      <c r="H22" s="23">
        <v>0.25649735099999998</v>
      </c>
    </row>
    <row r="23" spans="1:8" x14ac:dyDescent="0.2">
      <c r="A23" s="18"/>
      <c r="H23" s="23"/>
    </row>
    <row r="24" spans="1:8" x14ac:dyDescent="0.2">
      <c r="A24" s="18">
        <f>+A16+1</f>
        <v>3</v>
      </c>
      <c r="B24" s="7" t="s">
        <v>116</v>
      </c>
      <c r="H24" s="17"/>
    </row>
    <row r="25" spans="1:8" x14ac:dyDescent="0.2">
      <c r="A25" s="18">
        <f>+A24+0.1</f>
        <v>3.1</v>
      </c>
      <c r="B25" s="1" t="s">
        <v>117</v>
      </c>
      <c r="C25" s="27">
        <f>'Financial Statements'!B62/'Financial Statements'!B68</f>
        <v>5.9615369434796337</v>
      </c>
      <c r="D25" s="27">
        <f>'Financial Statements'!C62/'Financial Statements'!C68</f>
        <v>4.5635124425423994</v>
      </c>
      <c r="E25" s="27">
        <f>'Financial Statements'!D62/'Financial Statements'!D68</f>
        <v>3.9570394404566951</v>
      </c>
      <c r="F25" s="32" t="s">
        <v>159</v>
      </c>
      <c r="H25" s="23">
        <v>4.6734624919999996</v>
      </c>
    </row>
    <row r="26" spans="1:8" x14ac:dyDescent="0.2">
      <c r="A26" s="18">
        <f t="shared" ref="A26:A30" si="1">+A25+0.1</f>
        <v>3.2</v>
      </c>
      <c r="B26" s="1" t="s">
        <v>118</v>
      </c>
      <c r="C26" s="27">
        <f>('Financial Statements'!B55+'Financial Statements'!B59)/'Financial Statements'!B69</f>
        <v>0.31207778769967826</v>
      </c>
      <c r="D26" s="27">
        <f>('Financial Statements'!C55+'Financial Statements'!C59)/'Financial Statements'!C69</f>
        <v>0.33822884200090025</v>
      </c>
      <c r="E26" s="27">
        <f>('Financial Statements'!D55+'Financial Statements'!D59)/'Financial Statements'!D69</f>
        <v>0.33171960677765155</v>
      </c>
      <c r="F26" s="32" t="s">
        <v>160</v>
      </c>
      <c r="H26" s="23">
        <v>0.29809434899999998</v>
      </c>
    </row>
    <row r="27" spans="1:8" x14ac:dyDescent="0.2">
      <c r="A27" s="18">
        <f t="shared" si="1"/>
        <v>3.3000000000000003</v>
      </c>
      <c r="B27" s="1" t="s">
        <v>119</v>
      </c>
      <c r="C27" s="27">
        <f>('Financial Statements'!B55+'Financial Statements'!B59)/('Financial Statements'!B55+'Financial Statements'!B59+'Financial Statements'!B69)</f>
        <v>0.23785006546510473</v>
      </c>
      <c r="D27" s="27">
        <f>('Financial Statements'!C55+'Financial Statements'!C59)/('Financial Statements'!C55+'Financial Statements'!C59+'Financial Statements'!C69)</f>
        <v>0.2527436499539088</v>
      </c>
      <c r="E27" s="27">
        <f>('Financial Statements'!D55+'Financial Statements'!D59)/('Financial Statements'!D55+'Financial Statements'!D59+'Financial Statements'!D69)</f>
        <v>0.24909117887083612</v>
      </c>
      <c r="F27" s="32" t="s">
        <v>161</v>
      </c>
      <c r="H27" s="23">
        <v>0.229639971</v>
      </c>
    </row>
    <row r="28" spans="1:8" x14ac:dyDescent="0.2">
      <c r="A28" s="18">
        <f t="shared" si="1"/>
        <v>3.4000000000000004</v>
      </c>
      <c r="B28" s="1" t="s">
        <v>120</v>
      </c>
      <c r="C28" s="27">
        <f>C21/'Financial Statements'!B114</f>
        <v>50.850959860383945</v>
      </c>
      <c r="D28" s="27">
        <f>D21/'Financial Statements'!C114</f>
        <v>48.702270189802753</v>
      </c>
      <c r="E28" s="27">
        <f>E21/'Financial Statements'!D114</f>
        <v>28.327781479013989</v>
      </c>
      <c r="H28" s="23">
        <v>9.0128845650000002</v>
      </c>
    </row>
    <row r="29" spans="1:8" x14ac:dyDescent="0.2">
      <c r="A29" s="18">
        <f t="shared" si="1"/>
        <v>3.5000000000000004</v>
      </c>
      <c r="B29" s="1" t="s">
        <v>121</v>
      </c>
      <c r="C29" s="27">
        <f>(C19-'Financial Statements'!B113)/('Financial Statements'!B114-'Financial Statements'!B55)</f>
        <v>-13.429505022388962</v>
      </c>
      <c r="D29" s="27">
        <f>(D19-'Financial Statements'!C113)/('Financial Statements'!C114-'Financial Statements'!C55)</f>
        <v>-13.694484550967369</v>
      </c>
      <c r="E29" s="27">
        <f>(E19-'Financial Statements'!D113)/('Financial Statements'!D114-'Financial Statements'!D55)</f>
        <v>-11.755848206549992</v>
      </c>
      <c r="F29" s="32" t="s">
        <v>162</v>
      </c>
      <c r="H29" s="23">
        <v>-3.29107825</v>
      </c>
    </row>
    <row r="30" spans="1:8" x14ac:dyDescent="0.2">
      <c r="A30" s="18">
        <f t="shared" si="1"/>
        <v>3.6000000000000005</v>
      </c>
      <c r="B30" s="1" t="s">
        <v>122</v>
      </c>
      <c r="F30" s="32" t="s">
        <v>163</v>
      </c>
      <c r="H30" s="23"/>
    </row>
    <row r="31" spans="1:8" x14ac:dyDescent="0.2">
      <c r="A31" s="18"/>
      <c r="B31" s="3" t="s">
        <v>123</v>
      </c>
      <c r="C31">
        <f>C21-'Financial Statements'!B114-'Financial Statements'!B113+'Financial Statements'!B79-'Financial Statements'!B96-(('Financial Statements'!B85+'Financial Statements'!B87-'Financial Statements'!B88-'Financial Statements'!B90)-('Financial Statements'!C85+'Financial Statements'!C87-'Financial Statements'!C88-'Financial Statements'!C90))+'Financial Statements'!B104</f>
        <v>141813</v>
      </c>
      <c r="D31">
        <f>D21-'Financial Statements'!C114-'Financial Statements'!C113+'Financial Statements'!C79-'Financial Statements'!C96-(('Financial Statements'!C85+'Financial Statements'!C87-'Financial Statements'!C88-'Financial Statements'!C90)-('Financial Statements'!D85+'Financial Statements'!D87-'Financial Statements'!D88-'Financial Statements'!D90))+'Financial Statements'!C104</f>
        <v>159793</v>
      </c>
      <c r="F31" s="32" t="s">
        <v>164</v>
      </c>
      <c r="H31" s="23">
        <v>16932</v>
      </c>
    </row>
    <row r="32" spans="1:8" x14ac:dyDescent="0.2">
      <c r="A32" s="18"/>
      <c r="H32" s="23"/>
    </row>
    <row r="33" spans="1:8" x14ac:dyDescent="0.2">
      <c r="A33" s="18">
        <f>+A24+1</f>
        <v>4</v>
      </c>
      <c r="B33" s="17" t="s">
        <v>124</v>
      </c>
      <c r="H33" s="17"/>
    </row>
    <row r="34" spans="1:8" x14ac:dyDescent="0.2">
      <c r="A34" s="18">
        <f>+A33+0.1</f>
        <v>4.0999999999999996</v>
      </c>
      <c r="B34" s="1" t="s">
        <v>125</v>
      </c>
      <c r="C34" s="27">
        <f>'Financial Statements'!B8/(('Financial Statements'!B42+'Financial Statements'!C42)/2)</f>
        <v>2.918343256574687</v>
      </c>
      <c r="D34" s="27">
        <f>'Financial Statements'!C8/(('Financial Statements'!C42+'Financial Statements'!D42)/2)</f>
        <v>2.6265899357025155</v>
      </c>
      <c r="E34" s="27"/>
      <c r="H34" s="23">
        <v>0.64162941669999995</v>
      </c>
    </row>
    <row r="35" spans="1:8" x14ac:dyDescent="0.2">
      <c r="A35" s="18">
        <f t="shared" ref="A35:A37" si="2">+A34+0.1</f>
        <v>4.1999999999999993</v>
      </c>
      <c r="B35" s="1" t="s">
        <v>126</v>
      </c>
      <c r="C35" s="27">
        <f>'Financial Statements'!B8/(('Financial Statements'!B45+'Financial Statements'!C45)/2)</f>
        <v>9.6699976703409884</v>
      </c>
      <c r="D35" s="27">
        <f>'Financial Statements'!C8/(('Financial Statements'!C45+'Financial Statements'!D45)/2)</f>
        <v>9.6007400992047867</v>
      </c>
      <c r="E35" s="27"/>
      <c r="H35" s="23">
        <v>2.0854226859999998</v>
      </c>
    </row>
    <row r="36" spans="1:8" x14ac:dyDescent="0.2">
      <c r="A36" s="18">
        <f t="shared" si="2"/>
        <v>4.2999999999999989</v>
      </c>
      <c r="B36" s="1" t="s">
        <v>127</v>
      </c>
      <c r="C36" s="27">
        <f>'Financial Statements'!B10/(('Financial Statements'!B39+'Financial Statements'!C39)/2)</f>
        <v>34.959396147839669</v>
      </c>
      <c r="D36" s="27">
        <f>'Financial Statements'!C10/(('Financial Statements'!C39+'Financial Statements'!D39)/2)</f>
        <v>36.136829245371679</v>
      </c>
      <c r="E36" s="27"/>
      <c r="H36" s="23">
        <v>11.915225680000001</v>
      </c>
    </row>
    <row r="37" spans="1:8" x14ac:dyDescent="0.2">
      <c r="A37" s="18">
        <f t="shared" si="2"/>
        <v>4.3999999999999986</v>
      </c>
      <c r="B37" s="1" t="s">
        <v>128</v>
      </c>
      <c r="C37" s="27">
        <f>'Financial Statements'!B22/'Financial Statements'!B48</f>
        <v>0.28292440929256851</v>
      </c>
      <c r="D37" s="27">
        <f>'Financial Statements'!C22/'Financial Statements'!C48</f>
        <v>0.26974205275183616</v>
      </c>
      <c r="E37" s="27">
        <f>'Financial Statements'!D22/'Financial Statements'!D48</f>
        <v>0.1772557180259843</v>
      </c>
      <c r="H37" s="23">
        <v>6.5108073000000002E-2</v>
      </c>
    </row>
    <row r="38" spans="1:8" x14ac:dyDescent="0.2">
      <c r="A38" s="18"/>
    </row>
    <row r="39" spans="1:8" x14ac:dyDescent="0.2">
      <c r="A39" s="18">
        <f>+A33+1</f>
        <v>5</v>
      </c>
      <c r="B39" s="17" t="s">
        <v>129</v>
      </c>
      <c r="H39" s="17"/>
    </row>
    <row r="40" spans="1:8" x14ac:dyDescent="0.2">
      <c r="A40" s="18">
        <f>+A39+0.1</f>
        <v>5.0999999999999996</v>
      </c>
      <c r="B40" s="1" t="s">
        <v>130</v>
      </c>
      <c r="C40" s="27">
        <f>138.2/'Financial Statements'!B25</f>
        <v>22.618657937806869</v>
      </c>
      <c r="D40" s="27">
        <f>141.5/'Financial Statements'!C25</f>
        <v>25.222816399286987</v>
      </c>
      <c r="E40" s="27">
        <f>115.81/'Financial Statements'!D25</f>
        <v>35.307926829268297</v>
      </c>
      <c r="H40" s="23">
        <v>129.93150684</v>
      </c>
    </row>
    <row r="41" spans="1:8" x14ac:dyDescent="0.2">
      <c r="A41" s="18">
        <f t="shared" ref="A41:A44" si="3">+A40+0.1</f>
        <v>5.1999999999999993</v>
      </c>
      <c r="B41" s="3" t="s">
        <v>131</v>
      </c>
      <c r="C41" s="27">
        <f>('Financial Statements'!B22*1000)/'Financial Statements'!B28</f>
        <v>6.1132002014722815</v>
      </c>
      <c r="D41" s="27">
        <f>('Financial Statements'!C22*1000)/'Financial Statements'!C28</f>
        <v>5.6140204408927197</v>
      </c>
      <c r="E41" s="27">
        <f>('Financial Statements'!D22*1000)/'Financial Statements'!D28</f>
        <v>3.2753479618630856</v>
      </c>
      <c r="H41" s="23">
        <v>1.4647406300000001</v>
      </c>
    </row>
    <row r="42" spans="1:8" x14ac:dyDescent="0.2">
      <c r="A42" s="18">
        <f t="shared" si="3"/>
        <v>5.2999999999999989</v>
      </c>
      <c r="B42" s="1" t="s">
        <v>132</v>
      </c>
      <c r="C42" s="27">
        <f>138.2/C43</f>
        <v>44.526132495263653</v>
      </c>
      <c r="D42" s="27">
        <f>141.5/D43</f>
        <v>37.82510760025361</v>
      </c>
      <c r="E42" s="27">
        <f>115.81/E43</f>
        <v>31.067853247524447</v>
      </c>
      <c r="H42" s="23">
        <v>9.2003437469999998</v>
      </c>
    </row>
    <row r="43" spans="1:8" x14ac:dyDescent="0.2">
      <c r="A43" s="18">
        <f t="shared" si="3"/>
        <v>5.3999999999999986</v>
      </c>
      <c r="B43" s="3" t="s">
        <v>133</v>
      </c>
      <c r="C43" s="27">
        <f>(('Financial Statements'!B48-'Financial Statements'!B62)*1000)/'Financial Statements'!B28</f>
        <v>3.1037952827971447</v>
      </c>
      <c r="D43" s="27">
        <f>(('Financial Statements'!C48-'Financial Statements'!C62)*1000)/'Financial Statements'!C28</f>
        <v>3.740901453484597</v>
      </c>
      <c r="E43" s="27">
        <f>(('Financial Statements'!D48-'Financial Statements'!D62)*1000)/'Financial Statements'!D28</f>
        <v>3.7276473233382479</v>
      </c>
      <c r="F43" s="32" t="s">
        <v>165</v>
      </c>
      <c r="H43" s="23">
        <v>20.618794820000002</v>
      </c>
    </row>
    <row r="44" spans="1:8" x14ac:dyDescent="0.2">
      <c r="A44" s="18">
        <f t="shared" si="3"/>
        <v>5.4999999999999982</v>
      </c>
      <c r="B44" s="1" t="s">
        <v>134</v>
      </c>
      <c r="C44" s="27">
        <f>C45/'Financial Statements'!B25</f>
        <v>1.000522897697659</v>
      </c>
      <c r="D44" s="27">
        <f>D45/'Financial Statements'!C25</f>
        <v>1.0007156063289613</v>
      </c>
      <c r="E44" s="27"/>
      <c r="F44" s="32" t="s">
        <v>166</v>
      </c>
      <c r="H44" s="1"/>
    </row>
    <row r="45" spans="1:8" x14ac:dyDescent="0.2">
      <c r="A45" s="18"/>
      <c r="B45" s="3" t="s">
        <v>135</v>
      </c>
      <c r="C45" s="27">
        <f>(('Financial Statements'!B22-('Financial Statements'!C66-'Financial Statements'!B66)/'Financial Statements'!B22)*1000)/'Financial Statements'!B28</f>
        <v>6.1131949049326968</v>
      </c>
      <c r="D45" s="27">
        <f>(('Financial Statements'!C22-('Financial Statements'!D66-'Financial Statements'!C66)/'Financial Statements'!C22)*1000)/'Financial Statements'!C28</f>
        <v>5.6140145515054733</v>
      </c>
      <c r="E45" s="27"/>
      <c r="F45" s="32" t="s">
        <v>167</v>
      </c>
      <c r="H45" s="3"/>
    </row>
    <row r="46" spans="1:8" x14ac:dyDescent="0.2">
      <c r="A46" s="18">
        <f>+A44+0.1</f>
        <v>5.5999999999999979</v>
      </c>
      <c r="B46" s="1" t="s">
        <v>136</v>
      </c>
      <c r="C46" s="27">
        <f>C45/138.2</f>
        <v>4.4234405969122266E-2</v>
      </c>
      <c r="D46" s="27">
        <f>D45/141.5</f>
        <v>3.9675014498271897E-2</v>
      </c>
      <c r="E46" s="27"/>
      <c r="F46" s="32" t="s">
        <v>168</v>
      </c>
      <c r="H46" s="1"/>
    </row>
    <row r="47" spans="1:8" x14ac:dyDescent="0.2">
      <c r="A47" s="18">
        <f t="shared" ref="A47:A50" si="4">+A45+0.1</f>
        <v>0.1</v>
      </c>
      <c r="B47" s="1" t="s">
        <v>137</v>
      </c>
      <c r="C47" s="27">
        <f>'Financial Statements'!B22/'Financial Statements'!B68</f>
        <v>1.9695887275023682</v>
      </c>
      <c r="D47" s="27">
        <f>'Financial Statements'!C22/'Financial Statements'!C68</f>
        <v>1.5007132667617689</v>
      </c>
      <c r="E47" s="27">
        <f>'Financial Statements'!D22/'Financial Statements'!D68</f>
        <v>0.87866358530127486</v>
      </c>
      <c r="H47" s="23">
        <v>0.3693882148</v>
      </c>
    </row>
    <row r="48" spans="1:8" x14ac:dyDescent="0.2">
      <c r="A48" s="18">
        <f t="shared" si="4"/>
        <v>5.6999999999999975</v>
      </c>
      <c r="B48" s="1" t="s">
        <v>138</v>
      </c>
      <c r="C48" s="27">
        <f>C21/('Financial Statements'!B48-'Financial Statements'!B56)</f>
        <v>0.73293656583137545</v>
      </c>
      <c r="D48" s="27">
        <f>D21/('Financial Statements'!C48-'Financial Statements'!C56)</f>
        <v>0.58026968663672118</v>
      </c>
      <c r="E48" s="27">
        <f>E21/('Financial Statements'!D48-'Financial Statements'!D56)</f>
        <v>0.38920620972466313</v>
      </c>
      <c r="F48" s="32" t="s">
        <v>169</v>
      </c>
      <c r="H48" s="23">
        <v>0.16753588229999999</v>
      </c>
    </row>
    <row r="49" spans="1:8" x14ac:dyDescent="0.2">
      <c r="A49" s="18">
        <f t="shared" si="4"/>
        <v>0.2</v>
      </c>
      <c r="B49" s="1" t="s">
        <v>128</v>
      </c>
      <c r="C49" s="27">
        <f>'Financial Statements'!B22/'Financial Statements'!B48</f>
        <v>0.28292440929256851</v>
      </c>
      <c r="D49" s="27">
        <f>'Financial Statements'!C22/'Financial Statements'!C48</f>
        <v>0.26974205275183616</v>
      </c>
      <c r="E49" s="27">
        <f>'Financial Statements'!D22/'Financial Statements'!D48</f>
        <v>0.1772557180259843</v>
      </c>
      <c r="H49" s="23">
        <v>6.5108073840000003E-2</v>
      </c>
    </row>
    <row r="50" spans="1:8" x14ac:dyDescent="0.2">
      <c r="A50" s="18">
        <f t="shared" si="4"/>
        <v>5.7999999999999972</v>
      </c>
      <c r="B50" s="1" t="s">
        <v>139</v>
      </c>
      <c r="C50" s="27">
        <f t="shared" ref="C50:D50" si="5">C51/C19</f>
        <v>17284.336927095701</v>
      </c>
      <c r="D50" s="27">
        <f t="shared" si="5"/>
        <v>19848.708902713897</v>
      </c>
      <c r="E50" s="27">
        <f>E51/E19</f>
        <v>26246.533504085644</v>
      </c>
      <c r="H50" s="1"/>
    </row>
    <row r="51" spans="1:8" x14ac:dyDescent="0.2">
      <c r="A51" s="18"/>
      <c r="B51" s="3" t="s">
        <v>140</v>
      </c>
      <c r="C51" s="12">
        <f>(138.2*'Financial Statements'!B28)+('Financial Statements'!B55+'Financial Statements'!B59)-'Financial Statements'!B36</f>
        <v>2256314626.7999997</v>
      </c>
      <c r="D51" s="12">
        <f>(141.5*'Financial Statements'!C28)+('Financial Statements'!C55+'Financial Statements'!C59)-'Financial Statements'!C36</f>
        <v>2386469817.5</v>
      </c>
      <c r="E51" s="12">
        <f>(115.81*'Financial Statements'!D28)+('Financial Statements'!D55+'Financial Statements'!D59)-'Financial Statements'!D36</f>
        <v>2030011887.3400002</v>
      </c>
      <c r="F51" s="32" t="s">
        <v>170</v>
      </c>
      <c r="H51" s="3"/>
    </row>
  </sheetData>
  <mergeCells count="1">
    <mergeCell ref="C2:E2"/>
  </mergeCells>
  <pageMargins left="0.7" right="0.7" top="0.75" bottom="0.75" header="0.3" footer="0.3"/>
  <ignoredErrors>
    <ignoredError sqref="C19:E19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A663F-26B5-4F6F-A101-A9BECDA7AF18}">
  <dimension ref="A1:K34"/>
  <sheetViews>
    <sheetView workbookViewId="0">
      <selection activeCell="F1" sqref="F1:F1048576"/>
    </sheetView>
  </sheetViews>
  <sheetFormatPr baseColWidth="10" defaultColWidth="8.83203125" defaultRowHeight="15" x14ac:dyDescent="0.2"/>
  <cols>
    <col min="1" max="1" width="4.83203125" customWidth="1"/>
    <col min="2" max="2" width="35" customWidth="1"/>
    <col min="3" max="3" width="21.5" customWidth="1"/>
    <col min="4" max="4" width="16.6640625" customWidth="1"/>
    <col min="5" max="5" width="15.33203125" customWidth="1"/>
    <col min="6" max="6" width="23.33203125" style="30" customWidth="1"/>
  </cols>
  <sheetData>
    <row r="1" spans="1:11" ht="54.5" customHeight="1" x14ac:dyDescent="0.3">
      <c r="A1" s="6"/>
      <c r="B1" s="20" t="s">
        <v>0</v>
      </c>
      <c r="C1" s="20"/>
      <c r="D1" s="19"/>
      <c r="E1" s="19"/>
      <c r="F1" s="33"/>
      <c r="G1" s="19"/>
      <c r="H1" s="19"/>
      <c r="I1" s="19"/>
      <c r="J1" s="19"/>
      <c r="K1" s="19"/>
    </row>
    <row r="2" spans="1:11" x14ac:dyDescent="0.2">
      <c r="D2" s="28" t="s">
        <v>23</v>
      </c>
      <c r="E2" s="28"/>
      <c r="F2" s="28"/>
    </row>
    <row r="3" spans="1:11" x14ac:dyDescent="0.2">
      <c r="C3" s="24">
        <v>2023</v>
      </c>
      <c r="D3" s="7">
        <f>'Financial Statements'!B4</f>
        <v>2022</v>
      </c>
      <c r="E3" s="7">
        <f>+'Financial Statements'!C4</f>
        <v>2021</v>
      </c>
      <c r="F3" s="34"/>
    </row>
    <row r="4" spans="1:11" x14ac:dyDescent="0.2">
      <c r="A4">
        <v>1</v>
      </c>
      <c r="B4" s="7" t="s">
        <v>151</v>
      </c>
      <c r="C4" s="7"/>
      <c r="D4" s="7"/>
      <c r="E4" s="7"/>
      <c r="F4" s="34"/>
    </row>
    <row r="5" spans="1:11" x14ac:dyDescent="0.2">
      <c r="A5">
        <v>1.1000000000000001</v>
      </c>
      <c r="B5" t="s">
        <v>4</v>
      </c>
      <c r="C5" s="23">
        <v>-78.752620980000003</v>
      </c>
      <c r="D5">
        <f>(('Financial Statements'!B6-'Financial Statements'!C6)/'Financial Statements'!C6)*100</f>
        <v>6.3239764351428418</v>
      </c>
      <c r="E5">
        <f>(('Financial Statements'!C6-'Financial Statements'!D6)/'Financial Statements'!D6)*100</f>
        <v>34.720743656765436</v>
      </c>
      <c r="F5" s="30" t="s">
        <v>172</v>
      </c>
    </row>
    <row r="6" spans="1:11" x14ac:dyDescent="0.2">
      <c r="A6">
        <v>1.2</v>
      </c>
      <c r="B6" t="s">
        <v>5</v>
      </c>
      <c r="C6" s="23">
        <v>-71.439542299999999</v>
      </c>
      <c r="D6">
        <f>(('Financial Statements'!B7-'Financial Statements'!C7)/'Financial Statements'!C7)*100</f>
        <v>14.181951041286078</v>
      </c>
      <c r="E6">
        <f>(('Financial Statements'!C7-'Financial Statements'!D7)/'Financial Statements'!D7)*100</f>
        <v>27.259708376729652</v>
      </c>
    </row>
    <row r="7" spans="1:11" x14ac:dyDescent="0.2">
      <c r="A7">
        <v>1.3</v>
      </c>
      <c r="B7" s="7" t="s">
        <v>150</v>
      </c>
      <c r="C7" s="17">
        <v>-77.303665980000005</v>
      </c>
      <c r="D7">
        <f>(('Financial Statements'!B8-'Financial Statements'!C8)/'Financial Statements'!C8)*100</f>
        <v>7.7937876041846055</v>
      </c>
      <c r="E7">
        <f>(('Financial Statements'!C8-'Financial Statements'!D8)/'Financial Statements'!D8)*100</f>
        <v>33.25938473307469</v>
      </c>
    </row>
    <row r="8" spans="1:11" x14ac:dyDescent="0.2">
      <c r="C8" s="23"/>
    </row>
    <row r="9" spans="1:11" x14ac:dyDescent="0.2">
      <c r="A9">
        <v>2</v>
      </c>
      <c r="B9" s="7" t="s">
        <v>152</v>
      </c>
      <c r="C9" s="17"/>
    </row>
    <row r="10" spans="1:11" x14ac:dyDescent="0.2">
      <c r="C10" s="23">
        <v>-76.328000000000003</v>
      </c>
      <c r="D10">
        <f>(('Financial Statements'!B13-'Financial Statements'!C13)/'Financial Statements'!C13)*100</f>
        <v>11.741997958596142</v>
      </c>
      <c r="E10">
        <f>(('Financial Statements'!C13-'Financial Statements'!D13)/'Financial Statements'!D13)*100</f>
        <v>45.61911658218682</v>
      </c>
    </row>
    <row r="11" spans="1:11" x14ac:dyDescent="0.2">
      <c r="C11" s="23"/>
    </row>
    <row r="12" spans="1:11" x14ac:dyDescent="0.2">
      <c r="A12">
        <v>3</v>
      </c>
      <c r="B12" s="7" t="s">
        <v>153</v>
      </c>
      <c r="C12" s="7"/>
    </row>
    <row r="13" spans="1:11" x14ac:dyDescent="0.2">
      <c r="A13">
        <v>3.1</v>
      </c>
      <c r="B13" t="s">
        <v>11</v>
      </c>
      <c r="C13" s="23">
        <v>-72.164869899999999</v>
      </c>
      <c r="D13">
        <f>(('Financial Statements'!B15-'Financial Statements'!C15)/'Financial Statements'!C15)*100</f>
        <v>19.791001186456146</v>
      </c>
      <c r="E13">
        <f>(('Financial Statements'!C15-'Financial Statements'!D15)/'Financial Statements'!D15)*100</f>
        <v>16.862201365187712</v>
      </c>
    </row>
    <row r="14" spans="1:11" x14ac:dyDescent="0.2">
      <c r="A14">
        <v>3.2</v>
      </c>
      <c r="B14" t="s">
        <v>12</v>
      </c>
      <c r="C14" s="23">
        <v>-754881645</v>
      </c>
      <c r="D14">
        <f>(('Financial Statements'!B16-'Financial Statements'!C16)/'Financial Statements'!C16)*100</f>
        <v>14.203795567287125</v>
      </c>
      <c r="E14">
        <f>(('Financial Statements'!C16-'Financial Statements'!D16)/'Financial Statements'!D16)*100</f>
        <v>10.328379192608958</v>
      </c>
    </row>
    <row r="15" spans="1:11" x14ac:dyDescent="0.2">
      <c r="A15">
        <v>3.3</v>
      </c>
      <c r="B15" t="s">
        <v>13</v>
      </c>
      <c r="C15" s="23">
        <v>-73.789073900000005</v>
      </c>
      <c r="D15">
        <f>(('Financial Statements'!B17-'Financial Statements'!C17)/'Financial Statements'!C17)*100</f>
        <v>16.993642764372137</v>
      </c>
      <c r="E15">
        <f>(('Financial Statements'!C17-'Financial Statements'!D17)/'Financial Statements'!D17)*100</f>
        <v>13.496948381090307</v>
      </c>
    </row>
    <row r="16" spans="1:11" x14ac:dyDescent="0.2">
      <c r="C16" s="23"/>
    </row>
    <row r="17" spans="1:5" x14ac:dyDescent="0.2">
      <c r="A17">
        <v>4</v>
      </c>
      <c r="B17" s="7" t="s">
        <v>154</v>
      </c>
      <c r="C17" s="17"/>
    </row>
    <row r="18" spans="1:5" x14ac:dyDescent="0.2">
      <c r="B18" t="s">
        <v>31</v>
      </c>
      <c r="C18" s="23">
        <v>6.0271037999999999</v>
      </c>
      <c r="D18">
        <f>(('Financial Statements'!B42-'Financial Statements'!C42)/'Financial Statements'!C42)*100</f>
        <v>0.42199412619775128</v>
      </c>
      <c r="E18">
        <f>(('Financial Statements'!C42-'Financial Statements'!D42)/'Financial Statements'!D42)*100</f>
        <v>-6.1768942266879128</v>
      </c>
    </row>
    <row r="19" spans="1:5" x14ac:dyDescent="0.2">
      <c r="B19" t="s">
        <v>50</v>
      </c>
      <c r="C19" s="23">
        <v>-3.8339083999999999</v>
      </c>
      <c r="D19">
        <f>(('Financial Statements'!B47-'Financial Statements'!C47)/'Financial Statements'!C47)*100</f>
        <v>0.54772720964443988</v>
      </c>
      <c r="E19">
        <f>(('Financial Statements'!C47-'Financial Statements'!D47)/'Financial Statements'!D47)*100</f>
        <v>19.975579297904815</v>
      </c>
    </row>
    <row r="20" spans="1:5" x14ac:dyDescent="0.2">
      <c r="B20" t="s">
        <v>33</v>
      </c>
      <c r="C20" s="23">
        <v>0.49927353000000002</v>
      </c>
      <c r="D20">
        <f>(('Financial Statements'!B48-'Financial Statements'!C48)/'Financial Statements'!C48)*100</f>
        <v>0.49942735369029234</v>
      </c>
      <c r="E20">
        <f>(('Financial Statements'!C48-'Financial Statements'!D48)/'Financial Statements'!D48)*100</f>
        <v>8.3714123400681704</v>
      </c>
    </row>
    <row r="21" spans="1:5" x14ac:dyDescent="0.2">
      <c r="B21" t="s">
        <v>40</v>
      </c>
      <c r="C21" s="23">
        <v>-5.6331259500000002</v>
      </c>
      <c r="D21">
        <f>(('Financial Statements'!B56-'Financial Statements'!C56)/'Financial Statements'!C56)*100</f>
        <v>22.713398841258837</v>
      </c>
      <c r="E21">
        <f>(('Financial Statements'!C56-'Financial Statements'!D56)/'Financial Statements'!D56)*100</f>
        <v>19.061219067860939</v>
      </c>
    </row>
    <row r="22" spans="1:5" x14ac:dyDescent="0.2">
      <c r="B22" t="s">
        <v>53</v>
      </c>
      <c r="C22" s="23">
        <v>-2.00673865</v>
      </c>
      <c r="D22">
        <f>(('Financial Statements'!B61-'Financial Statements'!C61)/'Financial Statements'!C61)*100</f>
        <v>-8.8222075835277742</v>
      </c>
      <c r="E22">
        <f>(('Financial Statements'!C61-'Financial Statements'!D61)/'Financial Statements'!D61)*100</f>
        <v>6.0552243775994565</v>
      </c>
    </row>
    <row r="23" spans="1:5" x14ac:dyDescent="0.2">
      <c r="B23" t="s">
        <v>41</v>
      </c>
      <c r="C23" s="23">
        <v>-3.8552323099999999</v>
      </c>
      <c r="D23">
        <f>(('Financial Statements'!B62-'Financial Statements'!C62)/'Financial Statements'!C62)*100</f>
        <v>4.9219900525160467</v>
      </c>
      <c r="E23">
        <f>(('Financial Statements'!C62-'Financial Statements'!D62)/'Financial Statements'!D62)*100</f>
        <v>11.356841449783213</v>
      </c>
    </row>
    <row r="24" spans="1:5" x14ac:dyDescent="0.2">
      <c r="B24" t="s">
        <v>45</v>
      </c>
      <c r="C24" s="23">
        <v>22.643669089999999</v>
      </c>
      <c r="D24">
        <f>(('Financial Statements'!B68-'Financial Statements'!C68)/'Financial Statements'!C68)*100</f>
        <v>-19.682992550324933</v>
      </c>
      <c r="E24">
        <f>(('Financial Statements'!C68-'Financial Statements'!D68)/'Financial Statements'!D68)*100</f>
        <v>-3.4420483937617661</v>
      </c>
    </row>
    <row r="25" spans="1:5" x14ac:dyDescent="0.2">
      <c r="B25" t="s">
        <v>46</v>
      </c>
      <c r="C25" s="23">
        <v>-4.8759053699999999E-2</v>
      </c>
      <c r="D25">
        <f>(('Financial Statements'!B69-'Financial Statements'!C69)/'Financial Statements'!C69)*100</f>
        <v>0.49942735369029234</v>
      </c>
      <c r="E25">
        <f>(('Financial Statements'!C69-'Financial Statements'!D69)/'Financial Statements'!D69)*100</f>
        <v>8.3714123400681704</v>
      </c>
    </row>
    <row r="27" spans="1:5" x14ac:dyDescent="0.2">
      <c r="A27">
        <v>5</v>
      </c>
      <c r="B27" s="7" t="s">
        <v>155</v>
      </c>
      <c r="C27" s="7"/>
    </row>
    <row r="28" spans="1:5" x14ac:dyDescent="0.2">
      <c r="A28">
        <v>5.0999999999999996</v>
      </c>
      <c r="B28" s="1" t="s">
        <v>146</v>
      </c>
      <c r="C28" s="23">
        <v>56.690369439999998</v>
      </c>
      <c r="D28">
        <f>('Financial Statements'!C12/'Financial Statements'!C8)*100</f>
        <v>58.220640374832222</v>
      </c>
      <c r="E28">
        <f>'Financial Statements'!D12/'Financial Statements'!D8*100</f>
        <v>61.76675227218913</v>
      </c>
    </row>
    <row r="29" spans="1:5" x14ac:dyDescent="0.2">
      <c r="A29">
        <v>5.2</v>
      </c>
      <c r="B29" s="1" t="s">
        <v>89</v>
      </c>
      <c r="C29" s="23">
        <v>43.309630560000002</v>
      </c>
      <c r="D29">
        <f>'Financial Statements'!C13/'Financial Statements'!C8*100</f>
        <v>41.779359625167778</v>
      </c>
      <c r="E29">
        <f>'Financial Statements'!D13/'Financial Statements'!D8*100</f>
        <v>38.233247727810863</v>
      </c>
    </row>
    <row r="30" spans="1:5" x14ac:dyDescent="0.2">
      <c r="A30">
        <v>5.3</v>
      </c>
      <c r="B30" t="s">
        <v>11</v>
      </c>
      <c r="C30" s="23">
        <v>6.6571483640000002</v>
      </c>
      <c r="D30">
        <f>'Financial Statements'!C15/'Financial Statements'!C8*100</f>
        <v>5.9904269074427923</v>
      </c>
      <c r="E30">
        <f>'Financial Statements'!D15/'Financial Statements'!D8*100</f>
        <v>6.8309564140393064</v>
      </c>
    </row>
    <row r="31" spans="1:5" x14ac:dyDescent="0.2">
      <c r="A31">
        <v>5.4</v>
      </c>
      <c r="B31" t="s">
        <v>12</v>
      </c>
      <c r="C31" s="23">
        <v>6.3637378020000002</v>
      </c>
      <c r="D31">
        <f>'Financial Statements'!C16/'Financial Statements'!C8*100</f>
        <v>6.0065551901633878</v>
      </c>
      <c r="E31">
        <f>'Financial Statements'!D16/'Financial Statements'!D8*100</f>
        <v>7.254976959364698</v>
      </c>
    </row>
    <row r="32" spans="1:5" x14ac:dyDescent="0.2">
      <c r="A32">
        <v>5.5</v>
      </c>
      <c r="B32" t="s">
        <v>13</v>
      </c>
      <c r="C32" s="23">
        <v>13.020886170000001</v>
      </c>
      <c r="D32">
        <f>'Financial Statements'!C17/'Financial Statements'!C8*100</f>
        <v>11.99698209760618</v>
      </c>
      <c r="E32">
        <f>'Financial Statements'!D17/'Financial Statements'!D8*100</f>
        <v>14.085933373404004</v>
      </c>
    </row>
    <row r="33" spans="1:5" x14ac:dyDescent="0.2">
      <c r="A33">
        <v>5.6</v>
      </c>
      <c r="B33" s="1" t="s">
        <v>14</v>
      </c>
      <c r="C33" s="23">
        <v>30.288744399999999</v>
      </c>
      <c r="D33">
        <f>'Financial Statements'!C18/'Financial Statements'!C8*100</f>
        <v>29.782377527561593</v>
      </c>
      <c r="E33">
        <f>'Financial Statements'!D18/'Financial Statements'!D8*100</f>
        <v>24.147314354406863</v>
      </c>
    </row>
    <row r="34" spans="1:5" x14ac:dyDescent="0.2">
      <c r="A34">
        <v>5.7</v>
      </c>
      <c r="B34" s="1" t="s">
        <v>93</v>
      </c>
      <c r="C34" s="23">
        <v>25.30964071</v>
      </c>
      <c r="D34">
        <f>'Financial Statements'!C22/'Financial Statements'!C8*100</f>
        <v>25.881793355694239</v>
      </c>
      <c r="E34">
        <f>'Financial Statements'!D22/'Financial Statements'!D8*100</f>
        <v>20.913611278072235</v>
      </c>
    </row>
  </sheetData>
  <mergeCells count="1">
    <mergeCell ref="D2:F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BC53F-74E1-4B45-B154-F19C231A0BC5}">
  <dimension ref="A1:J7"/>
  <sheetViews>
    <sheetView tabSelected="1" workbookViewId="0">
      <selection activeCell="D17" sqref="D17"/>
    </sheetView>
  </sheetViews>
  <sheetFormatPr baseColWidth="10" defaultColWidth="8.83203125" defaultRowHeight="15" x14ac:dyDescent="0.2"/>
  <cols>
    <col min="1" max="1" width="4.83203125" customWidth="1"/>
    <col min="2" max="2" width="33.5" customWidth="1"/>
    <col min="3" max="3" width="17.1640625" customWidth="1"/>
    <col min="4" max="4" width="14.1640625" customWidth="1"/>
    <col min="5" max="5" width="12.5" customWidth="1"/>
    <col min="6" max="6" width="36.83203125" style="30" customWidth="1"/>
    <col min="7" max="7" width="14.1640625" customWidth="1"/>
  </cols>
  <sheetData>
    <row r="1" spans="1:10" ht="52.75" customHeight="1" x14ac:dyDescent="0.3">
      <c r="A1" s="6"/>
      <c r="B1" s="20" t="s">
        <v>0</v>
      </c>
      <c r="C1" s="19"/>
      <c r="D1" s="19"/>
      <c r="E1" s="19"/>
      <c r="F1" s="33"/>
      <c r="G1" s="19"/>
      <c r="H1" s="19"/>
      <c r="I1" s="19"/>
      <c r="J1" s="19"/>
    </row>
    <row r="2" spans="1:10" x14ac:dyDescent="0.2">
      <c r="C2" s="28" t="s">
        <v>23</v>
      </c>
      <c r="D2" s="28"/>
      <c r="E2" s="28"/>
    </row>
    <row r="3" spans="1:10" x14ac:dyDescent="0.2">
      <c r="C3" s="7">
        <f>'Financial Statements'!B4</f>
        <v>2022</v>
      </c>
      <c r="D3" s="7">
        <f>+'Financial Statements'!C4</f>
        <v>2021</v>
      </c>
      <c r="E3" s="7">
        <f>+'Financial Statements'!D4</f>
        <v>2020</v>
      </c>
      <c r="G3" s="24">
        <v>2023</v>
      </c>
    </row>
    <row r="5" spans="1:10" x14ac:dyDescent="0.2">
      <c r="A5">
        <v>1</v>
      </c>
      <c r="B5" s="1" t="s">
        <v>94</v>
      </c>
      <c r="C5">
        <f>('Financial Statements'!B21/'Financial Statements'!B22)*100</f>
        <v>19.338096049216958</v>
      </c>
      <c r="D5">
        <f>('Financial Statements'!C21/'Financial Statements'!C22)*100</f>
        <v>15.343261512463032</v>
      </c>
      <c r="E5">
        <f>('Financial Statements'!D21/'Financial Statements'!D22)*100</f>
        <v>16.860880319102613</v>
      </c>
      <c r="F5" s="30" t="s">
        <v>172</v>
      </c>
      <c r="G5">
        <v>17.607597139999999</v>
      </c>
    </row>
    <row r="6" spans="1:10" x14ac:dyDescent="0.2">
      <c r="A6">
        <v>2</v>
      </c>
      <c r="B6" s="1" t="s">
        <v>95</v>
      </c>
      <c r="C6">
        <f>(('Financial Statements'!B45-'Financial Statements'!C45-'Financial Statements'!B79)/'Financial Statements'!B8)*100</f>
        <v>-2.137053417459577</v>
      </c>
      <c r="D6">
        <f>(('Financial Statements'!C45-'Financial Statements'!D45-'Financial Statements'!C79)/'Financial Statements'!C8)*100</f>
        <v>-2.3536358343105976</v>
      </c>
      <c r="F6" s="30" t="s">
        <v>173</v>
      </c>
      <c r="G6">
        <v>-11.08516391</v>
      </c>
    </row>
    <row r="7" spans="1:10" x14ac:dyDescent="0.2">
      <c r="A7">
        <v>3</v>
      </c>
      <c r="B7" s="1" t="s">
        <v>96</v>
      </c>
      <c r="C7">
        <f>(('Financial Statements'!B45-'Financial Statements'!C45-'Financial Statements'!B79)/'Financial Statements'!B45)*100</f>
        <v>-20.008547617351663</v>
      </c>
      <c r="D7">
        <f>(('Financial Statements'!C45-'Financial Statements'!D45-'Financial Statements'!C79)/'Financial Statements'!C45)*100</f>
        <v>-21.830628803245435</v>
      </c>
      <c r="F7" s="30" t="s">
        <v>173</v>
      </c>
      <c r="G7">
        <v>-22.69472721</v>
      </c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Instructions</vt:lpstr>
      <vt:lpstr>Financial Statements</vt:lpstr>
      <vt:lpstr>List of Ratios</vt:lpstr>
      <vt:lpstr>Growth Rates</vt:lpstr>
      <vt:lpstr>Additional Items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Macbook Air</cp:lastModifiedBy>
  <dcterms:created xsi:type="dcterms:W3CDTF">2020-05-18T16:32:37Z</dcterms:created>
  <dcterms:modified xsi:type="dcterms:W3CDTF">2023-11-22T09:48:39Z</dcterms:modified>
</cp:coreProperties>
</file>