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martharutherford/Desktop/"/>
    </mc:Choice>
  </mc:AlternateContent>
  <xr:revisionPtr revIDLastSave="0" documentId="13_ncr:1_{813F76EF-46BD-D24A-963D-EBA685CE2976}" xr6:coauthVersionLast="47" xr6:coauthVersionMax="47" xr10:uidLastSave="{00000000-0000-0000-0000-000000000000}"/>
  <bookViews>
    <workbookView xWindow="6660" yWindow="500" windowWidth="22080" windowHeight="16320" activeTab="2" xr2:uid="{00000000-000D-0000-FFFF-FFFF00000000}"/>
  </bookViews>
  <sheets>
    <sheet name="Instructions" sheetId="2" r:id="rId1"/>
    <sheet name="Financial Statements" sheetId="1" r:id="rId2"/>
    <sheet name="List of Rat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3" l="1"/>
  <c r="E30" i="3" s="1"/>
  <c r="D31" i="3"/>
  <c r="C31" i="3"/>
  <c r="C30" i="3"/>
  <c r="D30" i="3"/>
  <c r="E29" i="3"/>
  <c r="D29" i="3"/>
  <c r="C29" i="3"/>
  <c r="E45" i="3"/>
  <c r="D45" i="3"/>
  <c r="D46" i="3" s="1"/>
  <c r="C45" i="3"/>
  <c r="E43" i="3"/>
  <c r="D43" i="3"/>
  <c r="C43" i="3"/>
  <c r="C42" i="3" s="1"/>
  <c r="E41" i="3"/>
  <c r="D41" i="3"/>
  <c r="C41" i="3"/>
  <c r="D5" i="3"/>
  <c r="E5" i="3"/>
  <c r="E6" i="3"/>
  <c r="D6" i="3"/>
  <c r="C6" i="3"/>
  <c r="I94" i="3"/>
  <c r="I93" i="3"/>
  <c r="E95" i="3"/>
  <c r="I95" i="3" s="1"/>
  <c r="G94" i="3"/>
  <c r="E94" i="3"/>
  <c r="D94" i="3"/>
  <c r="D95" i="3"/>
  <c r="G95" i="3"/>
  <c r="G93" i="3"/>
  <c r="E93" i="3"/>
  <c r="D93" i="3"/>
  <c r="H89" i="3"/>
  <c r="H88" i="3"/>
  <c r="H87" i="3"/>
  <c r="H86" i="3"/>
  <c r="H84" i="3"/>
  <c r="D89" i="3"/>
  <c r="G89" i="3"/>
  <c r="E89" i="3"/>
  <c r="G88" i="3"/>
  <c r="E88" i="3"/>
  <c r="G87" i="3"/>
  <c r="E87" i="3"/>
  <c r="G86" i="3"/>
  <c r="E86" i="3"/>
  <c r="G84" i="3"/>
  <c r="E84" i="3"/>
  <c r="G83" i="3"/>
  <c r="H83" i="3" s="1"/>
  <c r="E83" i="3"/>
  <c r="D86" i="3"/>
  <c r="D83" i="3"/>
  <c r="D88" i="3"/>
  <c r="D87" i="3"/>
  <c r="D84" i="3"/>
  <c r="D78" i="3"/>
  <c r="D77" i="3"/>
  <c r="D76" i="3"/>
  <c r="D75" i="3"/>
  <c r="D74" i="3"/>
  <c r="D73" i="3"/>
  <c r="D72" i="3"/>
  <c r="D71" i="3"/>
  <c r="D68" i="3"/>
  <c r="D67" i="3"/>
  <c r="D66" i="3"/>
  <c r="D63" i="3"/>
  <c r="D61" i="3"/>
  <c r="D60" i="3"/>
  <c r="D59" i="3"/>
  <c r="C51" i="3"/>
  <c r="E48" i="3"/>
  <c r="D48" i="3"/>
  <c r="C48" i="3"/>
  <c r="C46" i="3"/>
  <c r="C44" i="3"/>
  <c r="E44" i="3"/>
  <c r="D44" i="3"/>
  <c r="E34" i="3"/>
  <c r="D34" i="3"/>
  <c r="E19" i="3"/>
  <c r="D19" i="3"/>
  <c r="C19" i="3"/>
  <c r="C50" i="3" s="1"/>
  <c r="C8" i="3"/>
  <c r="E8" i="3"/>
  <c r="D8" i="3"/>
  <c r="C9" i="3"/>
  <c r="C34" i="3"/>
  <c r="E27" i="3"/>
  <c r="D27" i="3"/>
  <c r="C27" i="3"/>
  <c r="E26" i="3"/>
  <c r="D26" i="3"/>
  <c r="C26" i="3"/>
  <c r="E25" i="3"/>
  <c r="D25" i="3"/>
  <c r="C25" i="3"/>
  <c r="C5" i="3"/>
  <c r="E14" i="3"/>
  <c r="D14" i="3"/>
  <c r="C14" i="3"/>
  <c r="E17" i="3"/>
  <c r="D17" i="3"/>
  <c r="D15" i="2"/>
  <c r="E54" i="3"/>
  <c r="C15" i="2"/>
  <c r="B15" i="2"/>
  <c r="D54" i="3"/>
  <c r="C54" i="3"/>
  <c r="C36" i="3"/>
  <c r="E36" i="3"/>
  <c r="D36" i="3"/>
  <c r="E35" i="3"/>
  <c r="D35" i="3"/>
  <c r="C35" i="3"/>
  <c r="E28" i="3"/>
  <c r="D28" i="3"/>
  <c r="C28" i="3"/>
  <c r="C10" i="3"/>
  <c r="E9" i="3"/>
  <c r="D9" i="3"/>
  <c r="E11" i="3"/>
  <c r="D11" i="3"/>
  <c r="D12" i="3" s="1"/>
  <c r="C11" i="3"/>
  <c r="E49" i="3"/>
  <c r="D49" i="3"/>
  <c r="C49" i="3"/>
  <c r="E47" i="3"/>
  <c r="D47" i="3"/>
  <c r="C47" i="3"/>
  <c r="E37" i="3"/>
  <c r="C37" i="3"/>
  <c r="D37" i="3"/>
  <c r="E40" i="3"/>
  <c r="E52" i="3" s="1"/>
  <c r="E51" i="3" s="1"/>
  <c r="E50" i="3" s="1"/>
  <c r="D40" i="3"/>
  <c r="D52" i="3" s="1"/>
  <c r="D51" i="3" s="1"/>
  <c r="D50" i="3" s="1"/>
  <c r="C40" i="3"/>
  <c r="E22" i="3"/>
  <c r="D22" i="3"/>
  <c r="C22" i="3"/>
  <c r="E21" i="3"/>
  <c r="D21" i="3"/>
  <c r="C21" i="3"/>
  <c r="E20" i="3"/>
  <c r="D20" i="3"/>
  <c r="C20" i="3"/>
  <c r="E18" i="3"/>
  <c r="D18" i="3"/>
  <c r="C18" i="3"/>
  <c r="E13" i="3"/>
  <c r="D13" i="3"/>
  <c r="C13" i="3"/>
  <c r="E10" i="3"/>
  <c r="E12" i="3" s="1"/>
  <c r="D10" i="3"/>
  <c r="C17" i="3"/>
  <c r="E7" i="3"/>
  <c r="D7" i="3"/>
  <c r="C7" i="3"/>
  <c r="D108" i="1"/>
  <c r="C108" i="1"/>
  <c r="B108" i="1"/>
  <c r="D99" i="1"/>
  <c r="C99" i="1"/>
  <c r="B99" i="1"/>
  <c r="E46" i="3" l="1"/>
  <c r="D42" i="3"/>
  <c r="E42" i="3"/>
  <c r="C12" i="3"/>
  <c r="D68" i="1"/>
  <c r="C68" i="1"/>
  <c r="B68" i="1"/>
  <c r="D61" i="1"/>
  <c r="C61" i="1"/>
  <c r="B61" i="1"/>
  <c r="D56" i="1"/>
  <c r="C56" i="1"/>
  <c r="C62" i="1" s="1"/>
  <c r="B56" i="1"/>
  <c r="D47" i="1"/>
  <c r="C47" i="1"/>
  <c r="B47" i="1"/>
  <c r="D42" i="1"/>
  <c r="C42" i="1"/>
  <c r="B42" i="1"/>
  <c r="B48" i="1" s="1"/>
  <c r="D17" i="1"/>
  <c r="C17" i="1"/>
  <c r="B17" i="1"/>
  <c r="D12" i="1"/>
  <c r="C12" i="1"/>
  <c r="B12" i="1"/>
  <c r="D8" i="1"/>
  <c r="D13" i="1" s="1"/>
  <c r="D18" i="1" s="1"/>
  <c r="D20" i="1" s="1"/>
  <c r="D22" i="1" s="1"/>
  <c r="D76" i="1" s="1"/>
  <c r="D91" i="1" s="1"/>
  <c r="D109" i="1" s="1"/>
  <c r="C8" i="1"/>
  <c r="B8" i="1"/>
  <c r="E3" i="3"/>
  <c r="D3" i="3"/>
  <c r="C3" i="3"/>
  <c r="D33" i="1"/>
  <c r="D73" i="1" s="1"/>
  <c r="C33" i="1"/>
  <c r="C73" i="1" s="1"/>
  <c r="B33" i="1"/>
  <c r="B73" i="1" s="1"/>
  <c r="B13" i="1" l="1"/>
  <c r="B18" i="1" s="1"/>
  <c r="B20" i="1" s="1"/>
  <c r="B22" i="1" s="1"/>
  <c r="B76" i="1" s="1"/>
  <c r="B91" i="1" s="1"/>
  <c r="B109" i="1" s="1"/>
  <c r="C13" i="1"/>
  <c r="C18" i="1" s="1"/>
  <c r="C20" i="1" s="1"/>
  <c r="C22" i="1" s="1"/>
  <c r="C76" i="1" s="1"/>
  <c r="C91" i="1" s="1"/>
  <c r="C109" i="1" s="1"/>
  <c r="B62" i="1"/>
  <c r="C48" i="1"/>
  <c r="D62" i="1"/>
  <c r="D69" i="1" s="1"/>
  <c r="C69" i="1"/>
  <c r="D48" i="1"/>
  <c r="B69" i="1"/>
  <c r="A47" i="3"/>
  <c r="A49" i="3" s="1"/>
  <c r="A16" i="3"/>
  <c r="A17" i="3" s="1"/>
  <c r="A18" i="3" s="1"/>
  <c r="A20" i="3" s="1"/>
  <c r="A22" i="3" s="1"/>
  <c r="A5" i="3"/>
  <c r="A6" i="3" s="1"/>
  <c r="A7" i="3" s="1"/>
  <c r="A8" i="3" s="1"/>
  <c r="A9" i="3" s="1"/>
  <c r="A10" i="3" s="1"/>
  <c r="A11" i="3" s="1"/>
  <c r="A12" i="3" s="1"/>
  <c r="A13" i="3" s="1"/>
  <c r="A24" i="3" l="1"/>
  <c r="A25" i="3" s="1"/>
  <c r="A26" i="3" s="1"/>
  <c r="A27" i="3" s="1"/>
  <c r="A28" i="3" s="1"/>
  <c r="A29" i="3" s="1"/>
  <c r="A30" i="3" s="1"/>
  <c r="A33" i="3" l="1"/>
  <c r="A34" i="3" s="1"/>
  <c r="A35" i="3" s="1"/>
  <c r="A36" i="3" s="1"/>
  <c r="A37" i="3" s="1"/>
  <c r="A39" i="3" l="1"/>
  <c r="A40" i="3" s="1"/>
  <c r="A41" i="3" s="1"/>
  <c r="A42" i="3" s="1"/>
  <c r="A43" i="3" s="1"/>
  <c r="A44" i="3" s="1"/>
  <c r="A46" i="3" s="1"/>
  <c r="A48" i="3" s="1"/>
  <c r="A50" i="3" s="1"/>
</calcChain>
</file>

<file path=xl/sharedStrings.xml><?xml version="1.0" encoding="utf-8"?>
<sst xmlns="http://schemas.openxmlformats.org/spreadsheetml/2006/main" count="257" uniqueCount="195">
  <si>
    <t>Apple Inc.</t>
  </si>
  <si>
    <t>CONSOLIDATED STATEMENTS OF OPERATIONS</t>
  </si>
  <si>
    <t>(In millions, except number of shares which are reflected in thousands and per share amounts)</t>
  </si>
  <si>
    <t>Net sales:</t>
  </si>
  <si>
    <t>Products</t>
  </si>
  <si>
    <t>Services</t>
  </si>
  <si>
    <t>Total net sales</t>
  </si>
  <si>
    <t>Cost of sales:</t>
  </si>
  <si>
    <t>Total 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</si>
  <si>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</si>
  <si>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</si>
  <si>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</si>
  <si>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</si>
  <si>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</si>
  <si>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</si>
  <si>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</si>
  <si>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</si>
  <si>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</si>
  <si>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</si>
  <si>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</si>
  <si>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</si>
  <si>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</si>
  <si>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</si>
  <si>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Years ended September,</t>
  </si>
  <si>
    <t>CONSOLIDATED BALANCE SHEETS</t>
  </si>
  <si>
    <t>Current assets:</t>
  </si>
  <si>
    <t>Cash and cash equivalents</t>
  </si>
  <si>
    <t>Marketable securities</t>
  </si>
  <si>
    <t>Accounts receivable, net</t>
  </si>
  <si>
    <t>Inventories</t>
  </si>
  <si>
    <t>Other current assets</t>
  </si>
  <si>
    <t>Total current assets</t>
  </si>
  <si>
    <t>Property, plant and equipment, net</t>
  </si>
  <si>
    <t>Total assets</t>
  </si>
  <si>
    <t>Current liabilities:</t>
  </si>
  <si>
    <t>Accounts payable</t>
  </si>
  <si>
    <t>Other current liabilities</t>
  </si>
  <si>
    <t>Deferred revenue</t>
  </si>
  <si>
    <t>Commercial paper</t>
  </si>
  <si>
    <t>Term debt</t>
  </si>
  <si>
    <t>Total current liabilities</t>
  </si>
  <si>
    <t>Total liabilities</t>
  </si>
  <si>
    <t>Shareholders’ equity:</t>
  </si>
  <si>
    <t>Retained earnings</t>
  </si>
  <si>
    <t>Accumulated other comprehensive income/(loss)</t>
  </si>
  <si>
    <t>Total shareholders’ equity</t>
  </si>
  <si>
    <t>Total liabilities and shareholders’ equity</t>
  </si>
  <si>
    <t>Vendor non trade receivables</t>
  </si>
  <si>
    <t>Non current assets:</t>
  </si>
  <si>
    <t>Other non current assets</t>
  </si>
  <si>
    <t>Total non current assets</t>
  </si>
  <si>
    <t>Non current liabilities:</t>
  </si>
  <si>
    <t>Other non current liabilities</t>
  </si>
  <si>
    <t>Total non current liabilities</t>
  </si>
  <si>
    <t>Common stock and additional paid in capital, $0.00001 par value: 12,600,000 shares authorized; 4,443,236 and 4,754,986 shares issued and outstanding, respectively</t>
  </si>
  <si>
    <t>CONSOLIDATED STATEMENTS OF CASH FLOWS</t>
  </si>
  <si>
    <t>Cash, cash equivalents and restricted cash, beginning balances</t>
  </si>
  <si>
    <t>Operating activities:</t>
  </si>
  <si>
    <t>Adjustments to reconcile net income to cash generated by operating</t>
  </si>
  <si>
    <t>Depreciation and amortization</t>
  </si>
  <si>
    <t>Deferred income tax expense/(benefit)</t>
  </si>
  <si>
    <t>Other</t>
  </si>
  <si>
    <t>Changes in operating assets and liabilities:</t>
  </si>
  <si>
    <t>Cash generated by operating activities</t>
  </si>
  <si>
    <t>Investing activities:</t>
  </si>
  <si>
    <t>Purchases of marketable securities</t>
  </si>
  <si>
    <t>Proceeds from maturities of marketable securities</t>
  </si>
  <si>
    <t>Proceeds from sales of marketable securities</t>
  </si>
  <si>
    <t>Payments for acquisition of property, plant and equipment</t>
  </si>
  <si>
    <t>Payments made in connection with business acquisitions, net</t>
  </si>
  <si>
    <t>Cash generated by/(used in) investing activities</t>
  </si>
  <si>
    <t>Financing activities:</t>
  </si>
  <si>
    <t>Payments for dividends and dividend equivalents</t>
  </si>
  <si>
    <t>Repurchases of common stock</t>
  </si>
  <si>
    <t>Proceeds from issuance of term debt, net</t>
  </si>
  <si>
    <t>Repayments of term debt</t>
  </si>
  <si>
    <t>Proceeds from/(Repayments of) commercial paper, net</t>
  </si>
  <si>
    <t>Cash used in financing activities</t>
  </si>
  <si>
    <t>Increase/(Decrease) in cash, cash equivalents and restricted</t>
  </si>
  <si>
    <t>Cash, cash equivalents and restricted cash, ending balances</t>
  </si>
  <si>
    <t>Supplemental cash flow disclosure:</t>
  </si>
  <si>
    <t>Cash paid for income taxes, net</t>
  </si>
  <si>
    <t>Cash paid for interest</t>
  </si>
  <si>
    <t>Share based compensation expense</t>
  </si>
  <si>
    <t>Other current and non current assets</t>
  </si>
  <si>
    <t>Other current and non current liabilities</t>
  </si>
  <si>
    <t>Payments for taxes related to net share settlement of equity awards</t>
  </si>
  <si>
    <t>Instructions</t>
  </si>
  <si>
    <t>https://investor.apple.com/investor-relations/default.aspx</t>
  </si>
  <si>
    <t>Gross profits</t>
  </si>
  <si>
    <t>Each operating expenses</t>
  </si>
  <si>
    <t>Main line items of the balance sheet</t>
  </si>
  <si>
    <t>You are required to calculate margins/ as a % of net sales for the following:</t>
  </si>
  <si>
    <t>Net profit</t>
  </si>
  <si>
    <t>Income tax rate</t>
  </si>
  <si>
    <t>Capex as a percentage of sales</t>
  </si>
  <si>
    <t>Capex as a percentage of fixed assets</t>
  </si>
  <si>
    <t>You are required to perform a ratio analysis in excel using the information provided from this financial statements</t>
  </si>
  <si>
    <t>You are required to calculate the following additional items</t>
  </si>
  <si>
    <t>Liquidity</t>
  </si>
  <si>
    <t>Current ratio</t>
  </si>
  <si>
    <t>Quick Ratio</t>
  </si>
  <si>
    <t>Cash Ratio</t>
  </si>
  <si>
    <t>Defensive Interval</t>
  </si>
  <si>
    <t>Inventory Days</t>
  </si>
  <si>
    <t>Payable Days</t>
  </si>
  <si>
    <t>Receivable Days</t>
  </si>
  <si>
    <t>Net trading cycle</t>
  </si>
  <si>
    <t>Working Capital as a % of Sales</t>
  </si>
  <si>
    <t>Working Capital</t>
  </si>
  <si>
    <t>Profitability</t>
  </si>
  <si>
    <t>EBITDA margin</t>
  </si>
  <si>
    <t>EBITDA</t>
  </si>
  <si>
    <t>EBIT margin</t>
  </si>
  <si>
    <t>EBIT</t>
  </si>
  <si>
    <t>Net margin</t>
  </si>
  <si>
    <t>Solvency/ debt management</t>
  </si>
  <si>
    <t>Debt to equity (D/E)</t>
  </si>
  <si>
    <t>Debt to total assets</t>
  </si>
  <si>
    <t>Long-term debt to capital</t>
  </si>
  <si>
    <t>Times interest earned</t>
  </si>
  <si>
    <t>Debt coverage</t>
  </si>
  <si>
    <t>Free cash flow (FCFE) per share</t>
  </si>
  <si>
    <t>FCFE</t>
  </si>
  <si>
    <t>Asset utilization</t>
  </si>
  <si>
    <t>Total asset turnover</t>
  </si>
  <si>
    <t>Fixed asset turnover</t>
  </si>
  <si>
    <t>Inventory turnover</t>
  </si>
  <si>
    <t>Return on assets (ROA)</t>
  </si>
  <si>
    <t>Investor/market ratios</t>
  </si>
  <si>
    <t>Price to equity (P/E)</t>
  </si>
  <si>
    <t>Earnings per share (EPS)</t>
  </si>
  <si>
    <t>Price to book value (PBV)</t>
  </si>
  <si>
    <t>Book value per share (BV)</t>
  </si>
  <si>
    <t>Dividend payout ratio</t>
  </si>
  <si>
    <t>Dividend per share</t>
  </si>
  <si>
    <t>Dividend yield</t>
  </si>
  <si>
    <t>Return on equity (ROE)</t>
  </si>
  <si>
    <t>Return on capital employed (ROCE)</t>
  </si>
  <si>
    <t>Enterprise value to EBITDA (EV/EBITDA)</t>
  </si>
  <si>
    <t>Enterprise value (EV)</t>
  </si>
  <si>
    <t>Sheet contains the financial statements of Apple Inc. extracted from the most recent annual report:</t>
  </si>
  <si>
    <t>As at September,</t>
  </si>
  <si>
    <t>https://www.bloomberg.com/quote/AAPL:US</t>
  </si>
  <si>
    <t>* Market information like share price should be obtained from bloomberg.com from the particular day's closing price</t>
  </si>
  <si>
    <t>Sales (each category and net sales)</t>
  </si>
  <si>
    <t>All of the above ratios should be calculated in the "List of Ratios" tab</t>
  </si>
  <si>
    <t>The ratios that should be calculated are listed in the ratios tab</t>
  </si>
  <si>
    <t>In addition to the above, you are required to calculate the growth rates for the following:</t>
  </si>
  <si>
    <t xml:space="preserve">cashflow </t>
  </si>
  <si>
    <t xml:space="preserve">sales growth </t>
  </si>
  <si>
    <t>Gross Profit</t>
  </si>
  <si>
    <t xml:space="preserve">Cost of goods sold </t>
  </si>
  <si>
    <t>Current Assets / Current Liabilities</t>
  </si>
  <si>
    <t>Quick Assets / Total Current Liabilities</t>
  </si>
  <si>
    <t>Current Assets / Daily Operational Expenses where Daily Operational Expenses = (Annual Operating Expenses - Noncash Charges) / 365</t>
  </si>
  <si>
    <t>Operating Income + Depreciation &amp; Amortization</t>
  </si>
  <si>
    <t>For debt, include only the term debt under long term liabilities other items in long term liabilities are not actual debt)</t>
  </si>
  <si>
    <t>For debt, include only the term debt. Capital = Long term Debt + Total shareholder equity</t>
  </si>
  <si>
    <t>Net Operating Income/ (Interest + Debt repayment) , debt repayment can be found in cash flow statement</t>
  </si>
  <si>
    <t>Cash from operations + Capex + Net debt issued</t>
  </si>
  <si>
    <t>FCFE/Diluted number of shares</t>
  </si>
  <si>
    <t>remove multiplication by 365, its not days, it’s a multiple</t>
  </si>
  <si>
    <t>Net Income / Diluted number of Shares</t>
  </si>
  <si>
    <t>Share Price / Book Value per Share</t>
  </si>
  <si>
    <t>Total shareholder equity / Diluted number of Shares</t>
  </si>
  <si>
    <t>Dividend Paid (can be found in cash flow)/ Diluted number of Shares</t>
  </si>
  <si>
    <t>DPS/EPS</t>
  </si>
  <si>
    <t>EBIT/Capital employed, where Capital = Long term Debt + Total shareholder equity</t>
  </si>
  <si>
    <t>Dividend Per Share / Share Price</t>
  </si>
  <si>
    <t>EV / EBITDA</t>
  </si>
  <si>
    <t>Market Cap + Total Debt - (Cash + Cash Equivalents)</t>
  </si>
  <si>
    <t xml:space="preserve"> Please calcualte the following</t>
  </si>
  <si>
    <t>Growth Rates (%)</t>
  </si>
  <si>
    <t>Sales</t>
  </si>
  <si>
    <t>Gross Profits</t>
  </si>
  <si>
    <t>Operating Expenses</t>
  </si>
  <si>
    <t>Balance Sheet Main Line Items</t>
  </si>
  <si>
    <t>Margins/ as a percentage of net sales (%)</t>
  </si>
  <si>
    <t>COGS (Cost of goods sold)</t>
  </si>
  <si>
    <t>Other Calculations (%)</t>
  </si>
  <si>
    <t>Capex</t>
  </si>
  <si>
    <t>remove multiplication by 100 and use the % formatting instead</t>
  </si>
  <si>
    <t>Feedback</t>
  </si>
  <si>
    <t>done</t>
  </si>
  <si>
    <t xml:space="preserve">done </t>
  </si>
  <si>
    <t>average</t>
  </si>
  <si>
    <t xml:space="preserve">average </t>
  </si>
  <si>
    <t>Debt repayment can be found in cash flow statement, please link it to that number</t>
  </si>
  <si>
    <t>Remove the links to debt in balance sheet, debt issued can be found in cash flow statement, net debt issued is debt issued - repayments of debt</t>
  </si>
  <si>
    <t>Note that the income statement is in millions while the share count is in absolute value, therefore, please divide the share count by 1,000 in brackets</t>
  </si>
  <si>
    <t>Link total shareholder equity to balance sheet. Note that the income statement is in millions while the share count is in absolute value, therefore, please divide the share count by 1,000 in brackets</t>
  </si>
  <si>
    <t>Link dividend paid to cash flow statement. Note that the income statement is in millions while the share count is in absolute value, therefore, please divide the share count by 1,000 in brackets</t>
  </si>
  <si>
    <t>Feedback 2</t>
  </si>
  <si>
    <t>capex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</si>
</sst>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0.0000000"/>
    <numFmt numFmtId="168" formatCode="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0"/>
      <color theme="0"/>
      <name val="Calibri"/>
      <family val="2"/>
      <scheme val="minor"/>
    </font>
    <font>
      <u/>
      <sz val="11"/>
      <color theme="10"/>
      <name val="Calibri"/>
      <family val="2"/>
      <scheme val="minor"/>
    </font>
    <font>
      <sz val="20"/>
      <color theme="0"/>
      <name val="Calibri"/>
      <family val="2"/>
      <scheme val="minor"/>
    </font>
    <font>
      <b/>
      <sz val="11"/>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40">
    <xf numFmtId="0" fontId="0" fillId="0" borderId="0" xfId="0"/>
    <xf numFmtId="0" fontId="0" fillId="0" borderId="0" xfId="0" applyAlignment="1">
      <alignment horizontal="left" indent="1"/>
    </xf>
    <xf numFmtId="3" fontId="0" fillId="0" borderId="0" xfId="0" applyNumberFormat="1"/>
    <xf numFmtId="0" fontId="0" fillId="0" borderId="0" xfId="0" applyAlignment="1">
      <alignment horizontal="left" indent="2"/>
    </xf>
    <xf numFmtId="0" fontId="3" fillId="2" borderId="0" xfId="0" applyFont="1" applyFill="1"/>
    <xf numFmtId="0" fontId="4" fillId="2" borderId="0" xfId="0" applyFont="1" applyFill="1"/>
    <xf numFmtId="0" fontId="5" fillId="2" borderId="0" xfId="0" applyFont="1" applyFill="1" applyAlignment="1">
      <alignment vertical="center"/>
    </xf>
    <xf numFmtId="0" fontId="2" fillId="0" borderId="0" xfId="0" applyFont="1"/>
    <xf numFmtId="0" fontId="2" fillId="0" borderId="1" xfId="0" applyFont="1" applyBorder="1"/>
    <xf numFmtId="0" fontId="2" fillId="0" borderId="2" xfId="0" applyFont="1" applyBorder="1"/>
    <xf numFmtId="0" fontId="0" fillId="4" borderId="0" xfId="0" applyFill="1"/>
    <xf numFmtId="0" fontId="2" fillId="0" borderId="0" xfId="0" applyFont="1" applyAlignment="1">
      <alignment horizontal="left" indent="1"/>
    </xf>
    <xf numFmtId="164" fontId="0" fillId="0" borderId="0" xfId="1" applyNumberFormat="1" applyFont="1"/>
    <xf numFmtId="164" fontId="2" fillId="0" borderId="1" xfId="1" applyNumberFormat="1" applyFont="1" applyBorder="1"/>
    <xf numFmtId="164" fontId="2" fillId="0" borderId="2" xfId="1" applyNumberFormat="1" applyFont="1" applyBorder="1"/>
    <xf numFmtId="164" fontId="2" fillId="0" borderId="0" xfId="1" applyNumberFormat="1" applyFont="1"/>
    <xf numFmtId="0" fontId="6" fillId="0" borderId="0" xfId="2" applyAlignment="1">
      <alignment horizontal="left" indent="1"/>
    </xf>
    <xf numFmtId="0" fontId="2" fillId="0" borderId="0" xfId="0" applyFont="1" applyAlignment="1">
      <alignment horizontal="left"/>
    </xf>
    <xf numFmtId="165" fontId="0" fillId="0" borderId="0" xfId="0" applyNumberFormat="1"/>
    <xf numFmtId="0" fontId="3" fillId="2" borderId="0" xfId="0" applyFont="1" applyFill="1" applyAlignment="1">
      <alignment horizontal="center"/>
    </xf>
    <xf numFmtId="0" fontId="7" fillId="2" borderId="0" xfId="0" applyFont="1" applyFill="1" applyAlignment="1">
      <alignment horizontal="left"/>
    </xf>
    <xf numFmtId="164" fontId="0" fillId="0" borderId="3" xfId="1" applyNumberFormat="1" applyFont="1" applyBorder="1"/>
    <xf numFmtId="0" fontId="2" fillId="0" borderId="3" xfId="0" applyFont="1" applyBorder="1" applyAlignment="1">
      <alignment horizontal="left"/>
    </xf>
    <xf numFmtId="2" fontId="0" fillId="0" borderId="0" xfId="0" applyNumberFormat="1"/>
    <xf numFmtId="2" fontId="0" fillId="0" borderId="0" xfId="3" applyNumberFormat="1" applyFont="1"/>
    <xf numFmtId="9" fontId="0" fillId="0" borderId="0" xfId="3" applyFont="1"/>
    <xf numFmtId="43" fontId="0" fillId="0" borderId="0" xfId="1" applyFont="1"/>
    <xf numFmtId="0" fontId="0" fillId="0" borderId="0" xfId="0" applyAlignment="1">
      <alignment horizontal="left"/>
    </xf>
    <xf numFmtId="0" fontId="8" fillId="2" borderId="0" xfId="0" applyFont="1" applyFill="1" applyAlignment="1">
      <alignment horizontal="center"/>
    </xf>
    <xf numFmtId="0" fontId="2" fillId="0" borderId="0" xfId="0" applyFont="1" applyAlignment="1">
      <alignment horizontal="center"/>
    </xf>
    <xf numFmtId="166" fontId="0" fillId="0" borderId="0" xfId="0" applyNumberFormat="1"/>
    <xf numFmtId="164" fontId="0" fillId="0" borderId="0" xfId="0" applyNumberFormat="1"/>
    <xf numFmtId="43" fontId="0" fillId="0" borderId="0" xfId="0" applyNumberFormat="1"/>
    <xf numFmtId="10" fontId="0" fillId="0" borderId="0" xfId="3" applyNumberFormat="1" applyFont="1"/>
    <xf numFmtId="10" fontId="0" fillId="0" borderId="0" xfId="0" applyNumberFormat="1"/>
    <xf numFmtId="0" fontId="2" fillId="0" borderId="0" xfId="0" applyFont="1" applyAlignment="1">
      <alignment horizontal="center"/>
    </xf>
    <xf numFmtId="0" fontId="2" fillId="3" borderId="0" xfId="0" applyFont="1" applyFill="1" applyAlignment="1">
      <alignment horizontal="center"/>
    </xf>
    <xf numFmtId="43" fontId="2" fillId="0" borderId="0" xfId="1" applyFont="1" applyAlignment="1">
      <alignment horizontal="center"/>
    </xf>
    <xf numFmtId="0" fontId="2" fillId="5" borderId="0" xfId="0" applyFont="1" applyFill="1" applyAlignment="1">
      <alignment horizontal="center"/>
    </xf>
    <xf numFmtId="168" fontId="0" fillId="0" borderId="0" xfId="0" applyNumberFormat="1"/>
  </cellXfs>
  <cellStyles count="4">
    <cellStyle name="Comma" xfId="1" builtinId="3"/>
    <cellStyle name="Hyperlink" xfId="2" builtinId="8"/>
    <cellStyle name="Normal" xfId="0" builtinId="0"/>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oomberg.com/quote/AAPL:US" TargetMode="External"/><Relationship Id="rId1" Type="http://schemas.openxmlformats.org/officeDocument/2006/relationships/hyperlink" Target="https://investor.apple.com/investor-relation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opLeftCell="A13" workbookViewId="0">
      <selection activeCell="A8" sqref="A8"/>
    </sheetView>
  </sheetViews>
  <sheetFormatPr baseColWidth="10" defaultColWidth="8.83203125" defaultRowHeight="15" x14ac:dyDescent="0.2"/>
  <cols>
    <col min="1" max="1" width="104.5" customWidth="1"/>
  </cols>
  <sheetData>
    <row r="1" spans="1:4" ht="24" x14ac:dyDescent="0.3">
      <c r="A1" s="5" t="s">
        <v>87</v>
      </c>
    </row>
    <row r="3" spans="1:4" x14ac:dyDescent="0.2">
      <c r="A3" s="7" t="s">
        <v>141</v>
      </c>
    </row>
    <row r="4" spans="1:4" x14ac:dyDescent="0.2">
      <c r="A4" s="16" t="s">
        <v>88</v>
      </c>
    </row>
    <row r="5" spans="1:4" x14ac:dyDescent="0.2">
      <c r="A5" s="7" t="s">
        <v>97</v>
      </c>
    </row>
    <row r="6" spans="1:4" x14ac:dyDescent="0.2">
      <c r="A6" s="1" t="s">
        <v>147</v>
      </c>
    </row>
    <row r="7" spans="1:4" x14ac:dyDescent="0.2">
      <c r="A7" s="1"/>
    </row>
    <row r="8" spans="1:4" x14ac:dyDescent="0.2">
      <c r="A8" s="17" t="s">
        <v>148</v>
      </c>
    </row>
    <row r="9" spans="1:4" x14ac:dyDescent="0.2">
      <c r="A9" s="1" t="s">
        <v>145</v>
      </c>
    </row>
    <row r="10" spans="1:4" x14ac:dyDescent="0.2">
      <c r="A10" s="1" t="s">
        <v>89</v>
      </c>
    </row>
    <row r="11" spans="1:4" x14ac:dyDescent="0.2">
      <c r="A11" s="1" t="s">
        <v>90</v>
      </c>
    </row>
    <row r="12" spans="1:4" x14ac:dyDescent="0.2">
      <c r="A12" s="1" t="s">
        <v>91</v>
      </c>
    </row>
    <row r="13" spans="1:4" x14ac:dyDescent="0.2">
      <c r="A13" s="1"/>
    </row>
    <row r="14" spans="1:4" x14ac:dyDescent="0.2">
      <c r="A14" s="17" t="s">
        <v>92</v>
      </c>
    </row>
    <row r="15" spans="1:4" x14ac:dyDescent="0.2">
      <c r="A15" s="1" t="s">
        <v>89</v>
      </c>
      <c r="B15">
        <f>('Financial Statements'!B13/'Financial Statements'!B8)*100</f>
        <v>43.309630561360088</v>
      </c>
      <c r="C15">
        <f>('Financial Statements'!C13/'Financial Statements'!C8)*100</f>
        <v>41.779359625167778</v>
      </c>
      <c r="D15">
        <f>('Financial Statements'!D13/'Financial Statements'!D8)*100</f>
        <v>38.233247727810863</v>
      </c>
    </row>
    <row r="16" spans="1:4" x14ac:dyDescent="0.2">
      <c r="A16" s="1" t="s">
        <v>152</v>
      </c>
    </row>
    <row r="17" spans="1:1" x14ac:dyDescent="0.2">
      <c r="A17" s="1" t="s">
        <v>90</v>
      </c>
    </row>
    <row r="18" spans="1:1" x14ac:dyDescent="0.2">
      <c r="A18" s="1" t="s">
        <v>14</v>
      </c>
    </row>
    <row r="19" spans="1:1" x14ac:dyDescent="0.2">
      <c r="A19" s="1" t="s">
        <v>93</v>
      </c>
    </row>
    <row r="20" spans="1:1" x14ac:dyDescent="0.2">
      <c r="A20" s="1"/>
    </row>
    <row r="21" spans="1:1" x14ac:dyDescent="0.2">
      <c r="A21" s="17" t="s">
        <v>98</v>
      </c>
    </row>
    <row r="22" spans="1:1" x14ac:dyDescent="0.2">
      <c r="A22" s="1" t="s">
        <v>94</v>
      </c>
    </row>
    <row r="23" spans="1:1" x14ac:dyDescent="0.2">
      <c r="A23" s="1" t="s">
        <v>95</v>
      </c>
    </row>
    <row r="24" spans="1:1" x14ac:dyDescent="0.2">
      <c r="A24" s="1" t="s">
        <v>96</v>
      </c>
    </row>
    <row r="25" spans="1:1" x14ac:dyDescent="0.2">
      <c r="A25" s="1"/>
    </row>
    <row r="26" spans="1:1" x14ac:dyDescent="0.2">
      <c r="A26" s="17" t="s">
        <v>144</v>
      </c>
    </row>
    <row r="27" spans="1:1" x14ac:dyDescent="0.2">
      <c r="A27" s="16" t="s">
        <v>143</v>
      </c>
    </row>
    <row r="29" spans="1:1" x14ac:dyDescent="0.2">
      <c r="A29" s="7" t="s">
        <v>146</v>
      </c>
    </row>
  </sheetData>
  <hyperlinks>
    <hyperlink ref="A4" r:id="rId1" xr:uid="{00000000-0004-0000-0000-000000000000}"/>
    <hyperlink ref="A27"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topLeftCell="A81" workbookViewId="0">
      <selection activeCell="G93" sqref="G93"/>
    </sheetView>
  </sheetViews>
  <sheetFormatPr baseColWidth="10" defaultColWidth="8.83203125" defaultRowHeight="15" x14ac:dyDescent="0.2"/>
  <cols>
    <col min="1" max="1" width="59" customWidth="1"/>
    <col min="2" max="3" width="11.5" bestFit="1" customWidth="1"/>
    <col min="4" max="4" width="11.6640625" bestFit="1" customWidth="1"/>
  </cols>
  <sheetData>
    <row r="1" spans="1:10" ht="60" customHeight="1" x14ac:dyDescent="0.2">
      <c r="A1" s="6" t="s">
        <v>0</v>
      </c>
      <c r="B1" s="4" t="s">
        <v>2</v>
      </c>
      <c r="C1" s="4"/>
      <c r="D1" s="4"/>
      <c r="E1" s="4"/>
      <c r="F1" s="4"/>
      <c r="G1" s="4"/>
      <c r="H1" s="4"/>
      <c r="I1" s="4"/>
      <c r="J1" s="4"/>
    </row>
    <row r="2" spans="1:10" x14ac:dyDescent="0.2">
      <c r="A2" s="36" t="s">
        <v>1</v>
      </c>
      <c r="B2" s="36"/>
      <c r="C2" s="36"/>
      <c r="D2" s="36"/>
    </row>
    <row r="3" spans="1:10" x14ac:dyDescent="0.2">
      <c r="B3" s="35" t="s">
        <v>23</v>
      </c>
      <c r="C3" s="35"/>
      <c r="D3" s="35"/>
    </row>
    <row r="4" spans="1:10" x14ac:dyDescent="0.2">
      <c r="B4" s="7">
        <v>2022</v>
      </c>
      <c r="C4" s="7">
        <v>2021</v>
      </c>
      <c r="D4" s="7">
        <v>2020</v>
      </c>
    </row>
    <row r="5" spans="1:10" x14ac:dyDescent="0.2">
      <c r="A5" t="s">
        <v>3</v>
      </c>
    </row>
    <row r="6" spans="1:10" x14ac:dyDescent="0.2">
      <c r="A6" s="1" t="s">
        <v>4</v>
      </c>
      <c r="B6" s="12">
        <v>316199</v>
      </c>
      <c r="C6" s="12">
        <v>297392</v>
      </c>
      <c r="D6" s="12">
        <v>220747</v>
      </c>
    </row>
    <row r="7" spans="1:10" x14ac:dyDescent="0.2">
      <c r="A7" s="1" t="s">
        <v>5</v>
      </c>
      <c r="B7" s="12">
        <v>78129</v>
      </c>
      <c r="C7" s="12">
        <v>68425</v>
      </c>
      <c r="D7" s="12">
        <v>53768</v>
      </c>
    </row>
    <row r="8" spans="1:10" x14ac:dyDescent="0.2">
      <c r="A8" s="8" t="s">
        <v>6</v>
      </c>
      <c r="B8" s="13">
        <f>+B6+B7</f>
        <v>394328</v>
      </c>
      <c r="C8" s="13">
        <f t="shared" ref="C8:D8" si="0">+C6+C7</f>
        <v>365817</v>
      </c>
      <c r="D8" s="13">
        <f t="shared" si="0"/>
        <v>274515</v>
      </c>
    </row>
    <row r="9" spans="1:10" x14ac:dyDescent="0.2">
      <c r="A9" t="s">
        <v>7</v>
      </c>
      <c r="B9" s="12"/>
      <c r="C9" s="12"/>
      <c r="D9" s="12"/>
    </row>
    <row r="10" spans="1:10" x14ac:dyDescent="0.2">
      <c r="A10" s="1" t="s">
        <v>4</v>
      </c>
      <c r="B10" s="12">
        <v>201471</v>
      </c>
      <c r="C10" s="12">
        <v>192266</v>
      </c>
      <c r="D10" s="12">
        <v>151286</v>
      </c>
    </row>
    <row r="11" spans="1:10" x14ac:dyDescent="0.2">
      <c r="A11" s="1" t="s">
        <v>5</v>
      </c>
      <c r="B11" s="12">
        <v>22075</v>
      </c>
      <c r="C11" s="12">
        <v>20715</v>
      </c>
      <c r="D11" s="12">
        <v>18273</v>
      </c>
    </row>
    <row r="12" spans="1:10" x14ac:dyDescent="0.2">
      <c r="A12" s="8" t="s">
        <v>8</v>
      </c>
      <c r="B12" s="13">
        <f>+B10+B11</f>
        <v>223546</v>
      </c>
      <c r="C12" s="13">
        <f t="shared" ref="C12:D12" si="1">+C10+C11</f>
        <v>212981</v>
      </c>
      <c r="D12" s="13">
        <f t="shared" si="1"/>
        <v>169559</v>
      </c>
    </row>
    <row r="13" spans="1:10" x14ac:dyDescent="0.2">
      <c r="A13" s="8" t="s">
        <v>9</v>
      </c>
      <c r="B13" s="13">
        <f>+B8-B12</f>
        <v>170782</v>
      </c>
      <c r="C13" s="13">
        <f t="shared" ref="C13:D13" si="2">+C8-C12</f>
        <v>152836</v>
      </c>
      <c r="D13" s="13">
        <f t="shared" si="2"/>
        <v>104956</v>
      </c>
    </row>
    <row r="14" spans="1:10" x14ac:dyDescent="0.2">
      <c r="A14" t="s">
        <v>10</v>
      </c>
      <c r="B14" s="12"/>
      <c r="C14" s="12"/>
      <c r="D14" s="12"/>
    </row>
    <row r="15" spans="1:10" x14ac:dyDescent="0.2">
      <c r="A15" s="1" t="s">
        <v>11</v>
      </c>
      <c r="B15" s="12">
        <v>26251</v>
      </c>
      <c r="C15" s="12">
        <v>21914</v>
      </c>
      <c r="D15" s="12">
        <v>18752</v>
      </c>
    </row>
    <row r="16" spans="1:10" x14ac:dyDescent="0.2">
      <c r="A16" s="1" t="s">
        <v>12</v>
      </c>
      <c r="B16" s="12">
        <v>25094</v>
      </c>
      <c r="C16" s="12">
        <v>21973</v>
      </c>
      <c r="D16" s="12">
        <v>19916</v>
      </c>
    </row>
    <row r="17" spans="1:4" x14ac:dyDescent="0.2">
      <c r="A17" s="8" t="s">
        <v>13</v>
      </c>
      <c r="B17" s="13">
        <f>+B15+B16</f>
        <v>51345</v>
      </c>
      <c r="C17" s="13">
        <f t="shared" ref="C17" si="3">+C15+C16</f>
        <v>43887</v>
      </c>
      <c r="D17" s="13">
        <f t="shared" ref="D17" si="4">+D15+D16</f>
        <v>38668</v>
      </c>
    </row>
    <row r="18" spans="1:4" s="7" customFormat="1" x14ac:dyDescent="0.2">
      <c r="A18" s="8" t="s">
        <v>14</v>
      </c>
      <c r="B18" s="13">
        <f>+B13-B17</f>
        <v>119437</v>
      </c>
      <c r="C18" s="13">
        <f t="shared" ref="C18:D18" si="5">+C13-C17</f>
        <v>108949</v>
      </c>
      <c r="D18" s="13">
        <f t="shared" si="5"/>
        <v>66288</v>
      </c>
    </row>
    <row r="19" spans="1:4" x14ac:dyDescent="0.2">
      <c r="A19" t="s">
        <v>15</v>
      </c>
      <c r="B19" s="12">
        <v>-334</v>
      </c>
      <c r="C19" s="12">
        <v>258</v>
      </c>
      <c r="D19" s="12">
        <v>803</v>
      </c>
    </row>
    <row r="20" spans="1:4" x14ac:dyDescent="0.2">
      <c r="A20" s="8" t="s">
        <v>16</v>
      </c>
      <c r="B20" s="13">
        <f>+B18+B19</f>
        <v>119103</v>
      </c>
      <c r="C20" s="13">
        <f t="shared" ref="C20:D20" si="6">+C18+C19</f>
        <v>109207</v>
      </c>
      <c r="D20" s="13">
        <f t="shared" si="6"/>
        <v>67091</v>
      </c>
    </row>
    <row r="21" spans="1:4" x14ac:dyDescent="0.2">
      <c r="A21" t="s">
        <v>17</v>
      </c>
      <c r="B21" s="12">
        <v>19300</v>
      </c>
      <c r="C21" s="12">
        <v>14527</v>
      </c>
      <c r="D21" s="12">
        <v>9680</v>
      </c>
    </row>
    <row r="22" spans="1:4" ht="16" thickBot="1" x14ac:dyDescent="0.25">
      <c r="A22" s="9" t="s">
        <v>18</v>
      </c>
      <c r="B22" s="14">
        <f>+B20-B21</f>
        <v>99803</v>
      </c>
      <c r="C22" s="14">
        <f t="shared" ref="C22:D22" si="7">+C20-C21</f>
        <v>94680</v>
      </c>
      <c r="D22" s="14">
        <f t="shared" si="7"/>
        <v>57411</v>
      </c>
    </row>
    <row r="23" spans="1:4" ht="16" thickTop="1" x14ac:dyDescent="0.2">
      <c r="A23" t="s">
        <v>19</v>
      </c>
    </row>
    <row r="24" spans="1:4" x14ac:dyDescent="0.2">
      <c r="A24" s="1" t="s">
        <v>20</v>
      </c>
      <c r="B24" s="10">
        <v>6.15</v>
      </c>
      <c r="C24" s="10">
        <v>5.67</v>
      </c>
      <c r="D24" s="10">
        <v>3.31</v>
      </c>
    </row>
    <row r="25" spans="1:4" x14ac:dyDescent="0.2">
      <c r="A25" s="1" t="s">
        <v>21</v>
      </c>
      <c r="B25" s="10">
        <v>6.11</v>
      </c>
      <c r="C25" s="10">
        <v>5.61</v>
      </c>
      <c r="D25" s="10">
        <v>3.28</v>
      </c>
    </row>
    <row r="26" spans="1:4" x14ac:dyDescent="0.2">
      <c r="A26" t="s">
        <v>22</v>
      </c>
    </row>
    <row r="27" spans="1:4" x14ac:dyDescent="0.2">
      <c r="A27" s="1" t="s">
        <v>20</v>
      </c>
      <c r="B27" s="2">
        <v>16215963</v>
      </c>
      <c r="C27" s="2">
        <v>16701272</v>
      </c>
      <c r="D27" s="2">
        <v>17352119</v>
      </c>
    </row>
    <row r="28" spans="1:4" x14ac:dyDescent="0.2">
      <c r="A28" s="1" t="s">
        <v>21</v>
      </c>
      <c r="B28" s="2">
        <v>16325819</v>
      </c>
      <c r="C28" s="2">
        <v>16864919</v>
      </c>
      <c r="D28" s="2">
        <v>17528214</v>
      </c>
    </row>
    <row r="31" spans="1:4" x14ac:dyDescent="0.2">
      <c r="A31" s="36" t="s">
        <v>24</v>
      </c>
      <c r="B31" s="36"/>
      <c r="C31" s="36"/>
      <c r="D31" s="36"/>
    </row>
    <row r="32" spans="1:4" x14ac:dyDescent="0.2">
      <c r="B32" s="35" t="s">
        <v>142</v>
      </c>
      <c r="C32" s="35"/>
      <c r="D32" s="35"/>
    </row>
    <row r="33" spans="1:4" x14ac:dyDescent="0.2">
      <c r="B33" s="7">
        <f>+B4</f>
        <v>2022</v>
      </c>
      <c r="C33" s="7">
        <f t="shared" ref="C33:D33" si="8">+C4</f>
        <v>2021</v>
      </c>
      <c r="D33" s="7">
        <f t="shared" si="8"/>
        <v>2020</v>
      </c>
    </row>
    <row r="35" spans="1:4" x14ac:dyDescent="0.2">
      <c r="A35" t="s">
        <v>25</v>
      </c>
    </row>
    <row r="36" spans="1:4" x14ac:dyDescent="0.2">
      <c r="A36" s="1" t="s">
        <v>26</v>
      </c>
      <c r="B36" s="12">
        <v>23646</v>
      </c>
      <c r="C36" s="12">
        <v>34940</v>
      </c>
      <c r="D36" s="12">
        <v>38016</v>
      </c>
    </row>
    <row r="37" spans="1:4" x14ac:dyDescent="0.2">
      <c r="A37" s="1" t="s">
        <v>27</v>
      </c>
      <c r="B37" s="12">
        <v>24658</v>
      </c>
      <c r="C37" s="12">
        <v>27699</v>
      </c>
      <c r="D37" s="12">
        <v>52927</v>
      </c>
    </row>
    <row r="38" spans="1:4" x14ac:dyDescent="0.2">
      <c r="A38" s="1" t="s">
        <v>28</v>
      </c>
      <c r="B38" s="12">
        <v>28184</v>
      </c>
      <c r="C38" s="12">
        <v>26278</v>
      </c>
      <c r="D38" s="12">
        <v>16120</v>
      </c>
    </row>
    <row r="39" spans="1:4" x14ac:dyDescent="0.2">
      <c r="A39" s="1" t="s">
        <v>29</v>
      </c>
      <c r="B39" s="12">
        <v>4946</v>
      </c>
      <c r="C39" s="12">
        <v>6580</v>
      </c>
      <c r="D39" s="12">
        <v>4061</v>
      </c>
    </row>
    <row r="40" spans="1:4" x14ac:dyDescent="0.2">
      <c r="A40" s="1" t="s">
        <v>47</v>
      </c>
      <c r="B40" s="12">
        <v>32748</v>
      </c>
      <c r="C40" s="12">
        <v>25228</v>
      </c>
      <c r="D40" s="12">
        <v>21325</v>
      </c>
    </row>
    <row r="41" spans="1:4" x14ac:dyDescent="0.2">
      <c r="A41" s="1" t="s">
        <v>30</v>
      </c>
      <c r="B41" s="12">
        <v>21223</v>
      </c>
      <c r="C41" s="12">
        <v>14111</v>
      </c>
      <c r="D41" s="12">
        <v>11264</v>
      </c>
    </row>
    <row r="42" spans="1:4" x14ac:dyDescent="0.2">
      <c r="A42" s="8" t="s">
        <v>31</v>
      </c>
      <c r="B42" s="13">
        <f>+SUM(B36:B41)</f>
        <v>135405</v>
      </c>
      <c r="C42" s="13">
        <f t="shared" ref="C42:D42" si="9">+SUM(C36:C41)</f>
        <v>134836</v>
      </c>
      <c r="D42" s="13">
        <f t="shared" si="9"/>
        <v>143713</v>
      </c>
    </row>
    <row r="43" spans="1:4" x14ac:dyDescent="0.2">
      <c r="A43" t="s">
        <v>48</v>
      </c>
      <c r="B43" s="12"/>
      <c r="C43" s="12"/>
      <c r="D43" s="12"/>
    </row>
    <row r="44" spans="1:4" x14ac:dyDescent="0.2">
      <c r="A44" s="1" t="s">
        <v>27</v>
      </c>
      <c r="B44" s="12">
        <v>120805</v>
      </c>
      <c r="C44" s="12">
        <v>127877</v>
      </c>
      <c r="D44" s="12">
        <v>100887</v>
      </c>
    </row>
    <row r="45" spans="1:4" x14ac:dyDescent="0.2">
      <c r="A45" s="1" t="s">
        <v>32</v>
      </c>
      <c r="B45" s="12">
        <v>42117</v>
      </c>
      <c r="C45" s="12">
        <v>39440</v>
      </c>
      <c r="D45" s="12">
        <v>36766</v>
      </c>
    </row>
    <row r="46" spans="1:4" x14ac:dyDescent="0.2">
      <c r="A46" s="1" t="s">
        <v>49</v>
      </c>
      <c r="B46" s="12">
        <v>54428</v>
      </c>
      <c r="C46" s="12">
        <v>48849</v>
      </c>
      <c r="D46" s="12">
        <v>42522</v>
      </c>
    </row>
    <row r="47" spans="1:4" x14ac:dyDescent="0.2">
      <c r="A47" s="8" t="s">
        <v>50</v>
      </c>
      <c r="B47" s="13">
        <f>+SUM(B44:B46)</f>
        <v>217350</v>
      </c>
      <c r="C47" s="13">
        <f t="shared" ref="C47:D47" si="10">+SUM(C44:C46)</f>
        <v>216166</v>
      </c>
      <c r="D47" s="13">
        <f t="shared" si="10"/>
        <v>180175</v>
      </c>
    </row>
    <row r="48" spans="1:4" ht="16" thickBot="1" x14ac:dyDescent="0.25">
      <c r="A48" s="9" t="s">
        <v>33</v>
      </c>
      <c r="B48" s="14">
        <f>+B42+B47</f>
        <v>352755</v>
      </c>
      <c r="C48" s="14">
        <f t="shared" ref="C48:D48" si="11">+C42+C47</f>
        <v>351002</v>
      </c>
      <c r="D48" s="14">
        <f t="shared" si="11"/>
        <v>323888</v>
      </c>
    </row>
    <row r="49" spans="1:4" ht="16" thickTop="1" x14ac:dyDescent="0.2"/>
    <row r="50" spans="1:4" x14ac:dyDescent="0.2">
      <c r="A50" t="s">
        <v>34</v>
      </c>
    </row>
    <row r="51" spans="1:4" x14ac:dyDescent="0.2">
      <c r="A51" s="1" t="s">
        <v>35</v>
      </c>
      <c r="B51" s="12">
        <v>64115</v>
      </c>
      <c r="C51" s="12">
        <v>54763</v>
      </c>
      <c r="D51" s="12">
        <v>42296</v>
      </c>
    </row>
    <row r="52" spans="1:4" x14ac:dyDescent="0.2">
      <c r="A52" s="1" t="s">
        <v>36</v>
      </c>
      <c r="B52" s="12">
        <v>60845</v>
      </c>
      <c r="C52" s="12">
        <v>47493</v>
      </c>
      <c r="D52" s="12">
        <v>42684</v>
      </c>
    </row>
    <row r="53" spans="1:4" x14ac:dyDescent="0.2">
      <c r="A53" s="1" t="s">
        <v>37</v>
      </c>
      <c r="B53" s="12">
        <v>7912</v>
      </c>
      <c r="C53" s="12">
        <v>7612</v>
      </c>
      <c r="D53" s="12">
        <v>6643</v>
      </c>
    </row>
    <row r="54" spans="1:4" x14ac:dyDescent="0.2">
      <c r="A54" s="1" t="s">
        <v>38</v>
      </c>
      <c r="B54" s="12">
        <v>9982</v>
      </c>
      <c r="C54" s="12">
        <v>6000</v>
      </c>
      <c r="D54" s="12">
        <v>4996</v>
      </c>
    </row>
    <row r="55" spans="1:4" x14ac:dyDescent="0.2">
      <c r="A55" s="1" t="s">
        <v>39</v>
      </c>
      <c r="B55" s="12">
        <v>11128</v>
      </c>
      <c r="C55" s="12">
        <v>9613</v>
      </c>
      <c r="D55" s="12">
        <v>8773</v>
      </c>
    </row>
    <row r="56" spans="1:4" x14ac:dyDescent="0.2">
      <c r="A56" s="8" t="s">
        <v>40</v>
      </c>
      <c r="B56" s="13">
        <f>+SUM(B51:B55)</f>
        <v>153982</v>
      </c>
      <c r="C56" s="13">
        <f t="shared" ref="C56:D56" si="12">+SUM(C51:C55)</f>
        <v>125481</v>
      </c>
      <c r="D56" s="13">
        <f t="shared" si="12"/>
        <v>105392</v>
      </c>
    </row>
    <row r="57" spans="1:4" x14ac:dyDescent="0.2">
      <c r="A57" t="s">
        <v>51</v>
      </c>
      <c r="B57" s="12"/>
      <c r="C57" s="12"/>
      <c r="D57" s="12"/>
    </row>
    <row r="58" spans="1:4" x14ac:dyDescent="0.2">
      <c r="A58" s="1" t="s">
        <v>37</v>
      </c>
      <c r="B58" s="12"/>
      <c r="C58" s="12"/>
      <c r="D58" s="12"/>
    </row>
    <row r="59" spans="1:4" x14ac:dyDescent="0.2">
      <c r="A59" s="1" t="s">
        <v>39</v>
      </c>
      <c r="B59" s="12">
        <v>98959</v>
      </c>
      <c r="C59" s="12">
        <v>109106</v>
      </c>
      <c r="D59" s="12">
        <v>98667</v>
      </c>
    </row>
    <row r="60" spans="1:4" x14ac:dyDescent="0.2">
      <c r="A60" s="1" t="s">
        <v>52</v>
      </c>
      <c r="B60" s="12">
        <v>49142</v>
      </c>
      <c r="C60" s="12">
        <v>53325</v>
      </c>
      <c r="D60" s="12">
        <v>54490</v>
      </c>
    </row>
    <row r="61" spans="1:4" x14ac:dyDescent="0.2">
      <c r="A61" s="22" t="s">
        <v>53</v>
      </c>
      <c r="B61" s="21">
        <f>+B59+B60</f>
        <v>148101</v>
      </c>
      <c r="C61" s="21">
        <f t="shared" ref="C61:D61" si="13">+C59+C60</f>
        <v>162431</v>
      </c>
      <c r="D61" s="21">
        <f t="shared" si="13"/>
        <v>153157</v>
      </c>
    </row>
    <row r="62" spans="1:4" x14ac:dyDescent="0.2">
      <c r="A62" s="8" t="s">
        <v>41</v>
      </c>
      <c r="B62" s="13">
        <f>+B56+B61</f>
        <v>302083</v>
      </c>
      <c r="C62" s="13">
        <f t="shared" ref="C62:D62" si="14">+C56+C61</f>
        <v>287912</v>
      </c>
      <c r="D62" s="13">
        <f t="shared" si="14"/>
        <v>258549</v>
      </c>
    </row>
    <row r="63" spans="1:4" x14ac:dyDescent="0.2">
      <c r="B63" s="12"/>
      <c r="C63" s="12"/>
      <c r="D63" s="12"/>
    </row>
    <row r="64" spans="1:4" x14ac:dyDescent="0.2">
      <c r="A64" t="s">
        <v>42</v>
      </c>
      <c r="B64" s="12"/>
      <c r="C64" s="12"/>
      <c r="D64" s="12"/>
    </row>
    <row r="65" spans="1:4" x14ac:dyDescent="0.2">
      <c r="A65" s="1" t="s">
        <v>54</v>
      </c>
      <c r="B65" s="12">
        <v>64849</v>
      </c>
      <c r="C65" s="12">
        <v>57365</v>
      </c>
      <c r="D65" s="12">
        <v>50779</v>
      </c>
    </row>
    <row r="66" spans="1:4" x14ac:dyDescent="0.2">
      <c r="A66" s="1" t="s">
        <v>43</v>
      </c>
      <c r="B66" s="12">
        <v>-3068</v>
      </c>
      <c r="C66" s="12">
        <v>5562</v>
      </c>
      <c r="D66" s="12">
        <v>14966</v>
      </c>
    </row>
    <row r="67" spans="1:4" x14ac:dyDescent="0.2">
      <c r="A67" s="1" t="s">
        <v>44</v>
      </c>
      <c r="B67" s="12">
        <v>-11109</v>
      </c>
      <c r="C67" s="12">
        <v>163</v>
      </c>
      <c r="D67" s="12">
        <v>-406</v>
      </c>
    </row>
    <row r="68" spans="1:4" x14ac:dyDescent="0.2">
      <c r="A68" s="8" t="s">
        <v>45</v>
      </c>
      <c r="B68" s="13">
        <f>+SUM(B65:B67)</f>
        <v>50672</v>
      </c>
      <c r="C68" s="13">
        <f t="shared" ref="C68:D68" si="15">+SUM(C65:C67)</f>
        <v>63090</v>
      </c>
      <c r="D68" s="13">
        <f t="shared" si="15"/>
        <v>65339</v>
      </c>
    </row>
    <row r="69" spans="1:4" ht="16" thickBot="1" x14ac:dyDescent="0.25">
      <c r="A69" s="9" t="s">
        <v>46</v>
      </c>
      <c r="B69" s="14">
        <f>+B68+B62</f>
        <v>352755</v>
      </c>
      <c r="C69" s="14">
        <f t="shared" ref="C69:D69" si="16">+C68+C62</f>
        <v>351002</v>
      </c>
      <c r="D69" s="14">
        <f t="shared" si="16"/>
        <v>323888</v>
      </c>
    </row>
    <row r="70" spans="1:4" ht="16" thickTop="1" x14ac:dyDescent="0.2"/>
    <row r="71" spans="1:4" x14ac:dyDescent="0.2">
      <c r="A71" s="36" t="s">
        <v>55</v>
      </c>
      <c r="B71" s="36"/>
      <c r="C71" s="36"/>
      <c r="D71" s="36"/>
    </row>
    <row r="72" spans="1:4" x14ac:dyDescent="0.2">
      <c r="B72" s="35" t="s">
        <v>23</v>
      </c>
      <c r="C72" s="35"/>
      <c r="D72" s="35"/>
    </row>
    <row r="73" spans="1:4" x14ac:dyDescent="0.2">
      <c r="B73" s="7">
        <f>+B33</f>
        <v>2022</v>
      </c>
      <c r="C73" s="7">
        <f t="shared" ref="C73:D73" si="17">+C33</f>
        <v>2021</v>
      </c>
      <c r="D73" s="7">
        <f t="shared" si="17"/>
        <v>2020</v>
      </c>
    </row>
    <row r="75" spans="1:4" x14ac:dyDescent="0.2">
      <c r="A75" s="7" t="s">
        <v>56</v>
      </c>
      <c r="B75" s="15"/>
      <c r="C75" s="15"/>
      <c r="D75" s="15"/>
    </row>
    <row r="76" spans="1:4" x14ac:dyDescent="0.2">
      <c r="A76" t="s">
        <v>57</v>
      </c>
      <c r="B76" s="12">
        <f>+B22</f>
        <v>99803</v>
      </c>
      <c r="C76" s="12">
        <f t="shared" ref="C76:D76" si="18">+C22</f>
        <v>94680</v>
      </c>
      <c r="D76" s="12">
        <f t="shared" si="18"/>
        <v>57411</v>
      </c>
    </row>
    <row r="77" spans="1:4" x14ac:dyDescent="0.2">
      <c r="A77" s="11" t="s">
        <v>18</v>
      </c>
      <c r="B77" s="15"/>
      <c r="C77" s="15"/>
      <c r="D77" s="15"/>
    </row>
    <row r="78" spans="1:4" x14ac:dyDescent="0.2">
      <c r="A78" s="1" t="s">
        <v>58</v>
      </c>
      <c r="B78" s="12"/>
      <c r="C78" s="12"/>
      <c r="D78" s="12"/>
    </row>
    <row r="79" spans="1:4" x14ac:dyDescent="0.2">
      <c r="A79" s="3" t="s">
        <v>59</v>
      </c>
      <c r="B79" s="12">
        <v>11104</v>
      </c>
      <c r="C79" s="12">
        <v>11284</v>
      </c>
      <c r="D79" s="12">
        <v>11056</v>
      </c>
    </row>
    <row r="80" spans="1:4" x14ac:dyDescent="0.2">
      <c r="A80" s="3" t="s">
        <v>83</v>
      </c>
      <c r="B80" s="12">
        <v>9038</v>
      </c>
      <c r="C80" s="12">
        <v>7906</v>
      </c>
      <c r="D80" s="12">
        <v>6829</v>
      </c>
    </row>
    <row r="81" spans="1:4" x14ac:dyDescent="0.2">
      <c r="A81" s="3" t="s">
        <v>60</v>
      </c>
      <c r="B81" s="12">
        <v>895</v>
      </c>
      <c r="C81" s="12">
        <v>-4774</v>
      </c>
      <c r="D81" s="12">
        <v>-215</v>
      </c>
    </row>
    <row r="82" spans="1:4" x14ac:dyDescent="0.2">
      <c r="A82" s="3" t="s">
        <v>61</v>
      </c>
      <c r="B82" s="12">
        <v>111</v>
      </c>
      <c r="C82" s="12">
        <v>-147</v>
      </c>
      <c r="D82" s="12">
        <v>-97</v>
      </c>
    </row>
    <row r="83" spans="1:4" x14ac:dyDescent="0.2">
      <c r="A83" t="s">
        <v>62</v>
      </c>
      <c r="B83" s="12"/>
      <c r="C83" s="12"/>
      <c r="D83" s="12"/>
    </row>
    <row r="84" spans="1:4" x14ac:dyDescent="0.2">
      <c r="A84" s="1" t="s">
        <v>28</v>
      </c>
      <c r="B84" s="12">
        <v>-1823</v>
      </c>
      <c r="C84" s="12">
        <v>-10125</v>
      </c>
      <c r="D84" s="12">
        <v>6917</v>
      </c>
    </row>
    <row r="85" spans="1:4" x14ac:dyDescent="0.2">
      <c r="A85" s="1" t="s">
        <v>29</v>
      </c>
      <c r="B85" s="12">
        <v>1484</v>
      </c>
      <c r="C85" s="12">
        <v>-2642</v>
      </c>
      <c r="D85" s="12">
        <v>-127</v>
      </c>
    </row>
    <row r="86" spans="1:4" x14ac:dyDescent="0.2">
      <c r="A86" s="1" t="s">
        <v>47</v>
      </c>
      <c r="B86" s="12">
        <v>-7520</v>
      </c>
      <c r="C86" s="12">
        <v>-3903</v>
      </c>
      <c r="D86" s="12">
        <v>1553</v>
      </c>
    </row>
    <row r="87" spans="1:4" x14ac:dyDescent="0.2">
      <c r="A87" s="1" t="s">
        <v>84</v>
      </c>
      <c r="B87" s="12">
        <v>-6499</v>
      </c>
      <c r="C87" s="12">
        <v>-8042</v>
      </c>
      <c r="D87" s="12">
        <v>-9588</v>
      </c>
    </row>
    <row r="88" spans="1:4" x14ac:dyDescent="0.2">
      <c r="A88" s="1" t="s">
        <v>35</v>
      </c>
      <c r="B88" s="12">
        <v>9448</v>
      </c>
      <c r="C88" s="12">
        <v>12326</v>
      </c>
      <c r="D88" s="12">
        <v>-4062</v>
      </c>
    </row>
    <row r="89" spans="1:4" x14ac:dyDescent="0.2">
      <c r="A89" s="1" t="s">
        <v>37</v>
      </c>
      <c r="B89" s="12">
        <v>478</v>
      </c>
      <c r="C89" s="12">
        <v>1676</v>
      </c>
      <c r="D89" s="12">
        <v>2081</v>
      </c>
    </row>
    <row r="90" spans="1:4" x14ac:dyDescent="0.2">
      <c r="A90" s="1" t="s">
        <v>85</v>
      </c>
      <c r="B90" s="12">
        <v>5632</v>
      </c>
      <c r="C90" s="12">
        <v>5799</v>
      </c>
      <c r="D90" s="12">
        <v>8916</v>
      </c>
    </row>
    <row r="91" spans="1:4" x14ac:dyDescent="0.2">
      <c r="A91" s="8" t="s">
        <v>63</v>
      </c>
      <c r="B91" s="13">
        <f>+SUM(B76:B90)</f>
        <v>122151</v>
      </c>
      <c r="C91" s="13">
        <f t="shared" ref="C91:D91" si="19">+SUM(C76:C90)</f>
        <v>104038</v>
      </c>
      <c r="D91" s="13">
        <f t="shared" si="19"/>
        <v>80674</v>
      </c>
    </row>
    <row r="92" spans="1:4" x14ac:dyDescent="0.2">
      <c r="A92" s="7" t="s">
        <v>64</v>
      </c>
      <c r="B92" s="12"/>
      <c r="C92" s="12"/>
      <c r="D92" s="12"/>
    </row>
    <row r="93" spans="1:4" x14ac:dyDescent="0.2">
      <c r="A93" s="1" t="s">
        <v>65</v>
      </c>
      <c r="B93" s="12">
        <v>-76923</v>
      </c>
      <c r="C93" s="12">
        <v>-109558</v>
      </c>
      <c r="D93" s="12">
        <v>-114938</v>
      </c>
    </row>
    <row r="94" spans="1:4" x14ac:dyDescent="0.2">
      <c r="A94" s="1" t="s">
        <v>66</v>
      </c>
      <c r="B94" s="12">
        <v>29917</v>
      </c>
      <c r="C94" s="12">
        <v>59023</v>
      </c>
      <c r="D94" s="12">
        <v>69918</v>
      </c>
    </row>
    <row r="95" spans="1:4" x14ac:dyDescent="0.2">
      <c r="A95" s="1" t="s">
        <v>67</v>
      </c>
      <c r="B95" s="12">
        <v>37446</v>
      </c>
      <c r="C95" s="12">
        <v>47460</v>
      </c>
      <c r="D95" s="12">
        <v>50473</v>
      </c>
    </row>
    <row r="96" spans="1:4" x14ac:dyDescent="0.2">
      <c r="A96" s="1" t="s">
        <v>68</v>
      </c>
      <c r="B96" s="12">
        <v>-10708</v>
      </c>
      <c r="C96" s="12">
        <v>-11085</v>
      </c>
      <c r="D96" s="12">
        <v>-7309</v>
      </c>
    </row>
    <row r="97" spans="1:4" x14ac:dyDescent="0.2">
      <c r="A97" s="1" t="s">
        <v>69</v>
      </c>
      <c r="B97" s="12">
        <v>-306</v>
      </c>
      <c r="C97" s="12">
        <v>-33</v>
      </c>
      <c r="D97" s="12">
        <v>-1524</v>
      </c>
    </row>
    <row r="98" spans="1:4" x14ac:dyDescent="0.2">
      <c r="A98" s="1" t="s">
        <v>61</v>
      </c>
      <c r="B98" s="12">
        <v>-1780</v>
      </c>
      <c r="C98" s="12">
        <v>-352</v>
      </c>
      <c r="D98" s="12">
        <v>-909</v>
      </c>
    </row>
    <row r="99" spans="1:4" x14ac:dyDescent="0.2">
      <c r="A99" s="8" t="s">
        <v>70</v>
      </c>
      <c r="B99" s="13">
        <f>+SUM(B93:B98)</f>
        <v>-22354</v>
      </c>
      <c r="C99" s="13">
        <f t="shared" ref="C99:D99" si="20">+SUM(C93:C98)</f>
        <v>-14545</v>
      </c>
      <c r="D99" s="13">
        <f t="shared" si="20"/>
        <v>-4289</v>
      </c>
    </row>
    <row r="100" spans="1:4" x14ac:dyDescent="0.2">
      <c r="A100" s="7" t="s">
        <v>71</v>
      </c>
      <c r="B100" s="12"/>
      <c r="C100" s="12"/>
      <c r="D100" s="12"/>
    </row>
    <row r="101" spans="1:4" x14ac:dyDescent="0.2">
      <c r="A101" s="1" t="s">
        <v>86</v>
      </c>
      <c r="B101" s="12">
        <v>-6223</v>
      </c>
      <c r="C101" s="12">
        <v>-6556</v>
      </c>
      <c r="D101" s="12">
        <v>-3634</v>
      </c>
    </row>
    <row r="102" spans="1:4" x14ac:dyDescent="0.2">
      <c r="A102" s="1" t="s">
        <v>72</v>
      </c>
      <c r="B102" s="12">
        <v>-14841</v>
      </c>
      <c r="C102" s="12">
        <v>-14467</v>
      </c>
      <c r="D102" s="12">
        <v>-14081</v>
      </c>
    </row>
    <row r="103" spans="1:4" x14ac:dyDescent="0.2">
      <c r="A103" s="1" t="s">
        <v>73</v>
      </c>
      <c r="B103" s="12">
        <v>-89402</v>
      </c>
      <c r="C103" s="12">
        <v>-85971</v>
      </c>
      <c r="D103" s="12">
        <v>-72358</v>
      </c>
    </row>
    <row r="104" spans="1:4" x14ac:dyDescent="0.2">
      <c r="A104" s="1" t="s">
        <v>74</v>
      </c>
      <c r="B104" s="12">
        <v>5465</v>
      </c>
      <c r="C104" s="12">
        <v>20393</v>
      </c>
      <c r="D104" s="12">
        <v>16091</v>
      </c>
    </row>
    <row r="105" spans="1:4" x14ac:dyDescent="0.2">
      <c r="A105" s="1" t="s">
        <v>75</v>
      </c>
      <c r="B105" s="12">
        <v>-9543</v>
      </c>
      <c r="C105" s="12">
        <v>-8750</v>
      </c>
      <c r="D105" s="12">
        <v>-12629</v>
      </c>
    </row>
    <row r="106" spans="1:4" x14ac:dyDescent="0.2">
      <c r="A106" s="1" t="s">
        <v>76</v>
      </c>
      <c r="B106" s="12">
        <v>3955</v>
      </c>
      <c r="C106" s="12">
        <v>1022</v>
      </c>
      <c r="D106" s="12">
        <v>-963</v>
      </c>
    </row>
    <row r="107" spans="1:4" x14ac:dyDescent="0.2">
      <c r="A107" s="1" t="s">
        <v>61</v>
      </c>
      <c r="B107" s="12">
        <v>-160</v>
      </c>
      <c r="C107" s="12">
        <v>976</v>
      </c>
      <c r="D107" s="12">
        <v>754</v>
      </c>
    </row>
    <row r="108" spans="1:4" x14ac:dyDescent="0.2">
      <c r="A108" s="8" t="s">
        <v>77</v>
      </c>
      <c r="B108" s="13">
        <f>+SUM(B101:B107)</f>
        <v>-110749</v>
      </c>
      <c r="C108" s="13">
        <f t="shared" ref="C108:D108" si="21">+SUM(C101:C107)</f>
        <v>-93353</v>
      </c>
      <c r="D108" s="13">
        <f t="shared" si="21"/>
        <v>-86820</v>
      </c>
    </row>
    <row r="109" spans="1:4" x14ac:dyDescent="0.2">
      <c r="A109" s="8" t="s">
        <v>78</v>
      </c>
      <c r="B109" s="13">
        <f>+B91+B99+B108</f>
        <v>-10952</v>
      </c>
      <c r="C109" s="13">
        <f t="shared" ref="C109:D109" si="22">+C91+C99+C108</f>
        <v>-3860</v>
      </c>
      <c r="D109" s="13">
        <f t="shared" si="22"/>
        <v>-10435</v>
      </c>
    </row>
    <row r="110" spans="1:4" ht="16" thickBot="1" x14ac:dyDescent="0.25">
      <c r="A110" s="9" t="s">
        <v>79</v>
      </c>
      <c r="B110" s="14">
        <v>24977</v>
      </c>
      <c r="C110" s="14">
        <v>35929</v>
      </c>
      <c r="D110" s="14">
        <v>39789</v>
      </c>
    </row>
    <row r="111" spans="1:4" ht="16" thickTop="1" x14ac:dyDescent="0.2">
      <c r="B111" s="12"/>
      <c r="C111" s="12"/>
      <c r="D111" s="12"/>
    </row>
    <row r="112" spans="1:4" x14ac:dyDescent="0.2">
      <c r="A112" t="s">
        <v>80</v>
      </c>
      <c r="B112" s="12"/>
      <c r="C112" s="12"/>
      <c r="D112" s="12"/>
    </row>
    <row r="113" spans="1:4" x14ac:dyDescent="0.2">
      <c r="A113" t="s">
        <v>81</v>
      </c>
      <c r="B113" s="12">
        <v>19573</v>
      </c>
      <c r="C113" s="12">
        <v>25385</v>
      </c>
      <c r="D113" s="12">
        <v>9501</v>
      </c>
    </row>
    <row r="114" spans="1:4" x14ac:dyDescent="0.2">
      <c r="A114" t="s">
        <v>82</v>
      </c>
      <c r="B114" s="12">
        <v>2865</v>
      </c>
      <c r="C114" s="12">
        <v>2687</v>
      </c>
      <c r="D114" s="12">
        <v>3002</v>
      </c>
    </row>
  </sheetData>
  <mergeCells count="6">
    <mergeCell ref="B3:D3"/>
    <mergeCell ref="B32:D32"/>
    <mergeCell ref="B72:D72"/>
    <mergeCell ref="A2:D2"/>
    <mergeCell ref="A31:D31"/>
    <mergeCell ref="A71:D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6"/>
  <sheetViews>
    <sheetView tabSelected="1" topLeftCell="B2" workbookViewId="0">
      <selection activeCell="F43" sqref="F43"/>
    </sheetView>
  </sheetViews>
  <sheetFormatPr baseColWidth="10" defaultColWidth="8.83203125" defaultRowHeight="15" x14ac:dyDescent="0.2"/>
  <cols>
    <col min="1" max="1" width="4.6640625" customWidth="1"/>
    <col min="2" max="2" width="44.83203125" customWidth="1"/>
    <col min="3" max="5" width="17.83203125" bestFit="1" customWidth="1"/>
    <col min="6" max="6" width="17.83203125" customWidth="1"/>
    <col min="7" max="7" width="24.5" customWidth="1"/>
    <col min="11" max="11" width="11.6640625" bestFit="1" customWidth="1"/>
  </cols>
  <sheetData>
    <row r="1" spans="1:11" ht="60" customHeight="1" x14ac:dyDescent="0.3">
      <c r="A1" s="6"/>
      <c r="B1" s="20" t="s">
        <v>0</v>
      </c>
      <c r="C1" s="19"/>
      <c r="D1" s="19"/>
      <c r="E1" s="19"/>
      <c r="F1" s="28" t="s">
        <v>193</v>
      </c>
      <c r="G1" s="28" t="s">
        <v>183</v>
      </c>
      <c r="H1" s="19"/>
      <c r="I1" s="19"/>
      <c r="J1" s="19"/>
      <c r="K1" s="19"/>
    </row>
    <row r="2" spans="1:11" x14ac:dyDescent="0.2">
      <c r="C2" s="35" t="s">
        <v>23</v>
      </c>
      <c r="D2" s="35"/>
      <c r="E2" s="35"/>
      <c r="F2" s="29"/>
    </row>
    <row r="3" spans="1:11" x14ac:dyDescent="0.2">
      <c r="C3" s="7">
        <f>+'Financial Statements'!B4</f>
        <v>2022</v>
      </c>
      <c r="D3" s="7">
        <f>+'Financial Statements'!C4</f>
        <v>2021</v>
      </c>
      <c r="E3" s="7">
        <f>+'Financial Statements'!D4</f>
        <v>2020</v>
      </c>
      <c r="F3" s="7"/>
    </row>
    <row r="4" spans="1:11" x14ac:dyDescent="0.2">
      <c r="A4" s="18">
        <v>1</v>
      </c>
      <c r="B4" s="7" t="s">
        <v>99</v>
      </c>
    </row>
    <row r="5" spans="1:11" x14ac:dyDescent="0.2">
      <c r="A5" s="18">
        <f>+A4+0.1</f>
        <v>1.1000000000000001</v>
      </c>
      <c r="B5" s="1" t="s">
        <v>100</v>
      </c>
      <c r="C5" s="23">
        <f>'Financial Statements'!B42/'Financial Statements'!B56</f>
        <v>0.87935602862672257</v>
      </c>
      <c r="D5" s="23">
        <f>'Financial Statements'!C42/'Financial Statements'!C56</f>
        <v>1.0745531195957954</v>
      </c>
      <c r="E5" s="23">
        <f>'Financial Statements'!D42/'Financial Statements'!D56</f>
        <v>1.3636044481554577</v>
      </c>
      <c r="F5" s="23"/>
      <c r="G5" t="s">
        <v>153</v>
      </c>
    </row>
    <row r="6" spans="1:11" x14ac:dyDescent="0.2">
      <c r="A6" s="18">
        <f t="shared" ref="A6:A13" si="0">+A5+0.1</f>
        <v>1.2000000000000002</v>
      </c>
      <c r="B6" s="1" t="s">
        <v>101</v>
      </c>
      <c r="C6" s="23">
        <f>('Financial Statements'!B42-'Financial Statements'!B39)/'Financial Statements'!B56</f>
        <v>0.84723539114961488</v>
      </c>
      <c r="D6" s="23">
        <f>('Financial Statements'!C42-'Financial Statements'!C39)/'Financial Statements'!C56</f>
        <v>1.0221149018576519</v>
      </c>
      <c r="E6" s="23">
        <f>('Financial Statements'!D42-'Financial Statements'!D39)/'Financial Statements'!D56</f>
        <v>1.325072111735236</v>
      </c>
      <c r="F6" s="23"/>
      <c r="G6" t="s">
        <v>154</v>
      </c>
    </row>
    <row r="7" spans="1:11" x14ac:dyDescent="0.2">
      <c r="A7" s="18">
        <f t="shared" si="0"/>
        <v>1.3000000000000003</v>
      </c>
      <c r="B7" s="1" t="s">
        <v>102</v>
      </c>
      <c r="C7" s="23">
        <f>'Financial Statements'!B36/'Financial Statements'!B56</f>
        <v>0.15356340351469652</v>
      </c>
      <c r="D7" s="23">
        <f>'Financial Statements'!C36/'Financial Statements'!C56</f>
        <v>0.27844853005634318</v>
      </c>
      <c r="E7" s="23">
        <f>'Financial Statements'!D36/'Financial Statements'!D56</f>
        <v>0.36071049035979963</v>
      </c>
      <c r="F7" s="23"/>
    </row>
    <row r="8" spans="1:11" x14ac:dyDescent="0.2">
      <c r="A8" s="18">
        <f t="shared" si="0"/>
        <v>1.4000000000000004</v>
      </c>
      <c r="B8" s="1" t="s">
        <v>103</v>
      </c>
      <c r="C8" s="23">
        <f>'Financial Statements'!B42/('Financial Statements'!B17-'Financial Statements'!B79/365)</f>
        <v>2.6387238297685816</v>
      </c>
      <c r="D8" s="23">
        <f>'Financial Statements'!C42/('Financial Statements'!C17-'Financial Statements'!C79/365)</f>
        <v>3.0745106456853804</v>
      </c>
      <c r="E8" s="23">
        <f>'Financial Statements'!D42/('Financial Statements'!D17-'Financial Statements'!D79/365)</f>
        <v>3.7195010141274438</v>
      </c>
      <c r="F8" s="23"/>
      <c r="G8" t="s">
        <v>155</v>
      </c>
    </row>
    <row r="9" spans="1:11" x14ac:dyDescent="0.2">
      <c r="A9" s="18">
        <f t="shared" si="0"/>
        <v>1.5000000000000004</v>
      </c>
      <c r="B9" s="1" t="s">
        <v>104</v>
      </c>
      <c r="C9" s="23">
        <f>('Financial Statements'!B39/'Financial Statements'!B12)*365</f>
        <v>8.0756980666171607</v>
      </c>
      <c r="D9" s="23">
        <f>('Financial Statements'!C39/'Financial Statements'!C12)*365</f>
        <v>11.27659274770989</v>
      </c>
      <c r="E9" s="23">
        <f>('Financial Statements'!D39/'Financial Statements'!D12)*365</f>
        <v>8.7418833562358831</v>
      </c>
      <c r="F9" s="23"/>
    </row>
    <row r="10" spans="1:11" x14ac:dyDescent="0.2">
      <c r="A10" s="18">
        <f t="shared" si="0"/>
        <v>1.6000000000000005</v>
      </c>
      <c r="B10" s="1" t="s">
        <v>105</v>
      </c>
      <c r="C10" s="23">
        <f>('Financial Statements'!B51/'Financial Statements'!B12)*365</f>
        <v>104.68527730310539</v>
      </c>
      <c r="D10" s="23">
        <f>'Financial Statements'!C51*(365/'Financial Statements'!C12)</f>
        <v>93.851071222315596</v>
      </c>
      <c r="E10" s="23">
        <f>'Financial Statements'!D51*(365/'Financial Statements'!D12)</f>
        <v>91.048189715674184</v>
      </c>
      <c r="F10" s="23"/>
    </row>
    <row r="11" spans="1:11" x14ac:dyDescent="0.2">
      <c r="A11" s="18">
        <f t="shared" si="0"/>
        <v>1.7000000000000006</v>
      </c>
      <c r="B11" s="1" t="s">
        <v>106</v>
      </c>
      <c r="C11" s="23">
        <f>('Financial Statements'!B38/'Financial Statements'!B8)*365</f>
        <v>26.087825363656648</v>
      </c>
      <c r="D11" s="23">
        <f>('Financial Statements'!C38/'Financial Statements'!C8)*365</f>
        <v>26.219311841713207</v>
      </c>
      <c r="E11" s="23">
        <f>('Financial Statements'!D38/'Financial Statements'!D8)*365</f>
        <v>21.433437152796749</v>
      </c>
      <c r="F11" s="23"/>
    </row>
    <row r="12" spans="1:11" x14ac:dyDescent="0.2">
      <c r="A12" s="18">
        <f t="shared" si="0"/>
        <v>1.8000000000000007</v>
      </c>
      <c r="B12" s="1" t="s">
        <v>107</v>
      </c>
      <c r="C12" s="23">
        <f>C11+C9-C10</f>
        <v>-70.521753872831582</v>
      </c>
      <c r="D12" s="23">
        <f>D11+D9-D10</f>
        <v>-56.355166632892498</v>
      </c>
      <c r="E12" s="23">
        <f>E11+E9-E10</f>
        <v>-60.872869206641553</v>
      </c>
      <c r="F12" s="23"/>
    </row>
    <row r="13" spans="1:11" x14ac:dyDescent="0.2">
      <c r="A13" s="18">
        <f t="shared" si="0"/>
        <v>1.9000000000000008</v>
      </c>
      <c r="B13" s="1" t="s">
        <v>108</v>
      </c>
      <c r="C13" s="23">
        <f>'Financial Statements'!B8/('Financial Statements'!B38+'Financial Statements'!B39-'Financial Statements'!B51)</f>
        <v>-12.726416007745684</v>
      </c>
      <c r="D13" s="23">
        <f>'Financial Statements'!C8/('Financial Statements'!C38+'Financial Statements'!C39-'Financial Statements'!C51)</f>
        <v>-16.700159780871946</v>
      </c>
      <c r="E13" s="23">
        <f>'Financial Statements'!D8/('Financial Statements'!D38+'Financial Statements'!D39-'Financial Statements'!D51)</f>
        <v>-12.413068053357449</v>
      </c>
      <c r="F13" s="23"/>
    </row>
    <row r="14" spans="1:11" x14ac:dyDescent="0.2">
      <c r="A14" s="18"/>
      <c r="B14" s="3" t="s">
        <v>109</v>
      </c>
      <c r="C14">
        <f>'Financial Statements'!B42-'Financial Statements'!B56</f>
        <v>-18577</v>
      </c>
      <c r="D14">
        <f>'Financial Statements'!C42-'Financial Statements'!C56</f>
        <v>9355</v>
      </c>
      <c r="E14">
        <f>'Financial Statements'!D42-'Financial Statements'!D56</f>
        <v>38321</v>
      </c>
    </row>
    <row r="15" spans="1:11" x14ac:dyDescent="0.2">
      <c r="A15" s="18"/>
    </row>
    <row r="16" spans="1:11" x14ac:dyDescent="0.2">
      <c r="A16" s="18">
        <f>+A4+1</f>
        <v>2</v>
      </c>
      <c r="B16" s="17" t="s">
        <v>110</v>
      </c>
    </row>
    <row r="17" spans="1:10" x14ac:dyDescent="0.2">
      <c r="A17" s="18">
        <f>+A16+0.1</f>
        <v>2.1</v>
      </c>
      <c r="B17" s="1" t="s">
        <v>9</v>
      </c>
      <c r="C17" s="25">
        <f>'Financial Statements'!B13/'Financial Statements'!B8</f>
        <v>0.43309630561360085</v>
      </c>
      <c r="D17" s="25">
        <f>'Financial Statements'!C13/'Financial Statements'!C8</f>
        <v>0.41779359625167778</v>
      </c>
      <c r="E17" s="25">
        <f>'Financial Statements'!D13/'Financial Statements'!D8</f>
        <v>0.38233247727810865</v>
      </c>
      <c r="F17" s="25"/>
    </row>
    <row r="18" spans="1:10" x14ac:dyDescent="0.2">
      <c r="A18" s="18">
        <f>+A17+0.1</f>
        <v>2.2000000000000002</v>
      </c>
      <c r="B18" s="1" t="s">
        <v>111</v>
      </c>
      <c r="C18" s="25">
        <f>'Financial Statements'!B20/'Financial Statements'!B8</f>
        <v>0.30204043334482966</v>
      </c>
      <c r="D18" s="25">
        <f>'Financial Statements'!C20/'Financial Statements'!C8</f>
        <v>0.29852904594373691</v>
      </c>
      <c r="E18" s="25">
        <f>'Financial Statements'!D20/'Financial Statements'!D8</f>
        <v>0.24439830246070343</v>
      </c>
      <c r="F18" s="25"/>
    </row>
    <row r="19" spans="1:10" x14ac:dyDescent="0.2">
      <c r="A19" s="18"/>
      <c r="B19" s="3" t="s">
        <v>112</v>
      </c>
      <c r="C19" s="12">
        <f>'Financial Statements'!B18+'Financial Statements'!B79</f>
        <v>130541</v>
      </c>
      <c r="D19" s="12">
        <f>'Financial Statements'!C18+'Financial Statements'!C79</f>
        <v>120233</v>
      </c>
      <c r="E19" s="12">
        <f>'Financial Statements'!D18+'Financial Statements'!D79</f>
        <v>77344</v>
      </c>
      <c r="F19" s="12"/>
      <c r="G19" t="s">
        <v>156</v>
      </c>
    </row>
    <row r="20" spans="1:10" x14ac:dyDescent="0.2">
      <c r="A20" s="18">
        <f>+A18+0.1</f>
        <v>2.3000000000000003</v>
      </c>
      <c r="B20" s="1" t="s">
        <v>113</v>
      </c>
      <c r="C20" s="25">
        <f>'Financial Statements'!B18/'Financial Statements'!B8</f>
        <v>0.30288744395528594</v>
      </c>
      <c r="D20" s="25">
        <f>'Financial Statements'!C18/'Financial Statements'!C8</f>
        <v>0.29782377527561593</v>
      </c>
      <c r="E20" s="25">
        <f>'Financial Statements'!D18/'Financial Statements'!D8</f>
        <v>0.24147314354406862</v>
      </c>
      <c r="F20" s="25"/>
    </row>
    <row r="21" spans="1:10" x14ac:dyDescent="0.2">
      <c r="A21" s="18"/>
      <c r="B21" s="3" t="s">
        <v>114</v>
      </c>
      <c r="C21" s="12">
        <f>'Financial Statements'!B18</f>
        <v>119437</v>
      </c>
      <c r="D21" s="12">
        <f>'Financial Statements'!C18</f>
        <v>108949</v>
      </c>
      <c r="E21" s="12">
        <f>'Financial Statements'!D18</f>
        <v>66288</v>
      </c>
      <c r="F21" s="12"/>
    </row>
    <row r="22" spans="1:10" x14ac:dyDescent="0.2">
      <c r="A22" s="18">
        <f>+A20+0.1</f>
        <v>2.4000000000000004</v>
      </c>
      <c r="B22" s="1" t="s">
        <v>115</v>
      </c>
      <c r="C22" s="25">
        <f>'Financial Statements'!B22/'Financial Statements'!B8</f>
        <v>0.25309640705199732</v>
      </c>
      <c r="D22" s="25">
        <f>'Financial Statements'!C22/'Financial Statements'!C8</f>
        <v>0.25881793355694238</v>
      </c>
      <c r="E22" s="25">
        <f>'Financial Statements'!D22/'Financial Statements'!D8</f>
        <v>0.20913611278072236</v>
      </c>
      <c r="F22" s="25"/>
      <c r="J22" t="s">
        <v>149</v>
      </c>
    </row>
    <row r="23" spans="1:10" x14ac:dyDescent="0.2">
      <c r="A23" s="18"/>
    </row>
    <row r="24" spans="1:10" x14ac:dyDescent="0.2">
      <c r="A24" s="18">
        <f>+A16+1</f>
        <v>3</v>
      </c>
      <c r="B24" s="7" t="s">
        <v>116</v>
      </c>
    </row>
    <row r="25" spans="1:10" x14ac:dyDescent="0.2">
      <c r="A25" s="18">
        <f>+A24+0.1</f>
        <v>3.1</v>
      </c>
      <c r="B25" s="1" t="s">
        <v>117</v>
      </c>
      <c r="C25" s="23">
        <f>'Financial Statements'!B68/'Financial Statements'!B59</f>
        <v>0.51205044513384335</v>
      </c>
      <c r="D25" s="23">
        <f>'Financial Statements'!C68/'Financial Statements'!C59</f>
        <v>0.57824500944036072</v>
      </c>
      <c r="E25" s="23">
        <f>'Financial Statements'!D68/'Financial Statements'!D59</f>
        <v>0.66221735737379261</v>
      </c>
      <c r="F25" s="23"/>
      <c r="G25" t="s">
        <v>157</v>
      </c>
      <c r="H25" t="s">
        <v>184</v>
      </c>
    </row>
    <row r="26" spans="1:10" x14ac:dyDescent="0.2">
      <c r="A26" s="18">
        <f t="shared" ref="A26:A30" si="1">+A25+0.1</f>
        <v>3.2</v>
      </c>
      <c r="B26" s="1" t="s">
        <v>118</v>
      </c>
      <c r="C26" s="23">
        <f>'Financial Statements'!B59/'Financial Statements'!B48</f>
        <v>0.28053181386514719</v>
      </c>
      <c r="D26" s="23">
        <f>'Financial Statements'!C59/'Financial Statements'!C48</f>
        <v>0.31084153366647482</v>
      </c>
      <c r="E26" s="23">
        <f>'Financial Statements'!D59/'Financial Statements'!D48</f>
        <v>0.30463308304105124</v>
      </c>
      <c r="F26" s="23"/>
      <c r="G26" t="s">
        <v>157</v>
      </c>
      <c r="H26" t="s">
        <v>184</v>
      </c>
    </row>
    <row r="27" spans="1:10" x14ac:dyDescent="0.2">
      <c r="A27" s="18">
        <f t="shared" si="1"/>
        <v>3.3000000000000003</v>
      </c>
      <c r="B27" s="1" t="s">
        <v>119</v>
      </c>
      <c r="C27" s="23">
        <f>'Financial Statements'!B59/('Financial Statements'!B59+'Financial Statements'!B68)</f>
        <v>0.66135359651409131</v>
      </c>
      <c r="D27" s="23">
        <f>'Financial Statements'!C59/('Financial Statements'!C59+'Financial Statements'!C68)</f>
        <v>0.63361518269878514</v>
      </c>
      <c r="E27" s="23">
        <f>'Financial Statements'!D59/('Financial Statements'!D59+'Financial Statements'!D68)</f>
        <v>0.60160603880345842</v>
      </c>
      <c r="F27" s="23"/>
      <c r="G27" t="s">
        <v>158</v>
      </c>
      <c r="H27" t="s">
        <v>185</v>
      </c>
    </row>
    <row r="28" spans="1:10" x14ac:dyDescent="0.2">
      <c r="A28" s="18">
        <f t="shared" si="1"/>
        <v>3.4000000000000004</v>
      </c>
      <c r="B28" s="1" t="s">
        <v>120</v>
      </c>
      <c r="C28" s="23">
        <f>'Financial Statements'!B18/'Financial Statements'!B114</f>
        <v>41.68830715532286</v>
      </c>
      <c r="D28" s="23">
        <f>'Financial Statements'!C18/'Financial Statements'!C114</f>
        <v>40.546706363974693</v>
      </c>
      <c r="E28" s="23">
        <f>'Financial Statements'!D18/'Financial Statements'!D114</f>
        <v>22.081279147235175</v>
      </c>
      <c r="F28" s="23"/>
    </row>
    <row r="29" spans="1:10" x14ac:dyDescent="0.2">
      <c r="A29" s="18">
        <f t="shared" si="1"/>
        <v>3.5000000000000004</v>
      </c>
      <c r="B29" s="1" t="s">
        <v>121</v>
      </c>
      <c r="C29" s="23">
        <f>'Financial Statements'!B18/(-'Financial Statements'!B105+'Financial Statements'!B114)</f>
        <v>9.6258059316569948</v>
      </c>
      <c r="D29" s="23">
        <f>'Financial Statements'!C20/(-'Financial Statements'!C105+'Financial Statements'!C114)</f>
        <v>9.5485704293083842</v>
      </c>
      <c r="E29" s="23">
        <f>'Financial Statements'!D20/(-'Financial Statements'!D105+'Financial Statements'!D114)</f>
        <v>4.2921758044910758</v>
      </c>
      <c r="F29" s="23" t="s">
        <v>188</v>
      </c>
      <c r="G29" t="s">
        <v>159</v>
      </c>
      <c r="H29" t="s">
        <v>184</v>
      </c>
    </row>
    <row r="30" spans="1:10" x14ac:dyDescent="0.2">
      <c r="A30" s="18">
        <f t="shared" si="1"/>
        <v>3.6000000000000005</v>
      </c>
      <c r="B30" s="1" t="s">
        <v>122</v>
      </c>
      <c r="C30" s="30">
        <f>C31/('Financial Statements'!B28/1000)</f>
        <v>7.7454613456145758</v>
      </c>
      <c r="D30" s="30">
        <f>D31/('Financial Statements'!C28/1000)</f>
        <v>7.2396434278753423</v>
      </c>
      <c r="E30" s="30">
        <f>E31/('Financial Statements'!D28/1000)</f>
        <v>5.8240388895297608</v>
      </c>
      <c r="F30" s="30" t="s">
        <v>190</v>
      </c>
      <c r="G30" t="s">
        <v>161</v>
      </c>
      <c r="H30" t="s">
        <v>184</v>
      </c>
    </row>
    <row r="31" spans="1:10" x14ac:dyDescent="0.2">
      <c r="A31" s="18"/>
      <c r="B31" s="3" t="s">
        <v>123</v>
      </c>
      <c r="C31">
        <f>'Financial Statements'!B91+'Financial Statements'!B96+'Financial Statements'!B104-'Financial Statements'!B105</f>
        <v>126451</v>
      </c>
      <c r="D31">
        <f>'Financial Statements'!C91+'Financial Statements'!C96+'Financial Statements'!C104-'Financial Statements'!C105</f>
        <v>122096</v>
      </c>
      <c r="E31">
        <f>'Financial Statements'!D91+'Financial Statements'!D96+'Financial Statements'!D104-'Financial Statements'!D105</f>
        <v>102085</v>
      </c>
      <c r="F31" t="s">
        <v>189</v>
      </c>
      <c r="G31" t="s">
        <v>160</v>
      </c>
      <c r="H31" t="s">
        <v>184</v>
      </c>
    </row>
    <row r="32" spans="1:10" x14ac:dyDescent="0.2">
      <c r="A32" s="18"/>
      <c r="B32" s="1" t="s">
        <v>194</v>
      </c>
    </row>
    <row r="33" spans="1:8" x14ac:dyDescent="0.2">
      <c r="A33" s="18">
        <f>+A24+1</f>
        <v>4</v>
      </c>
      <c r="B33" s="17" t="s">
        <v>124</v>
      </c>
    </row>
    <row r="34" spans="1:8" x14ac:dyDescent="0.2">
      <c r="A34" s="18">
        <f>+A33+0.1</f>
        <v>4.0999999999999996</v>
      </c>
      <c r="B34" s="1" t="s">
        <v>125</v>
      </c>
      <c r="C34" s="23">
        <f>'Financial Statements'!B8/('Financial Statements'!B48)*100</f>
        <v>111.78523337727317</v>
      </c>
      <c r="D34" s="23">
        <f>'Financial Statements'!C8/('Financial Statements'!C48)*100</f>
        <v>104.22077367080529</v>
      </c>
      <c r="E34" s="23">
        <f>('Financial Statements'!D8/'Financial Statements'!D48)*100</f>
        <v>84.756150274168846</v>
      </c>
      <c r="F34" s="23"/>
      <c r="G34" t="s">
        <v>162</v>
      </c>
      <c r="H34" t="s">
        <v>184</v>
      </c>
    </row>
    <row r="35" spans="1:8" x14ac:dyDescent="0.2">
      <c r="A35" s="18">
        <f t="shared" ref="A35:A37" si="2">+A34+0.1</f>
        <v>4.1999999999999993</v>
      </c>
      <c r="B35" s="1" t="s">
        <v>126</v>
      </c>
      <c r="C35" s="23">
        <f>'Financial Statements'!B8/'Financial Statements'!B47</f>
        <v>1.8142535081665516</v>
      </c>
      <c r="D35" s="23">
        <f>'Financial Statements'!C8/'Financial Statements'!C47</f>
        <v>1.6922966608994938</v>
      </c>
      <c r="E35" s="23">
        <f>'Financial Statements'!D8/'Financial Statements'!D47</f>
        <v>1.5236020535590398</v>
      </c>
      <c r="F35" s="23"/>
    </row>
    <row r="36" spans="1:8" x14ac:dyDescent="0.2">
      <c r="A36" s="18">
        <f t="shared" si="2"/>
        <v>4.2999999999999989</v>
      </c>
      <c r="B36" s="1" t="s">
        <v>127</v>
      </c>
      <c r="C36" s="23">
        <f>'Financial Statements'!B12/'Financial Statements'!B39</f>
        <v>45.197331176708452</v>
      </c>
      <c r="D36" s="23">
        <f>'Financial Statements'!C12/'Financial Statements'!C39</f>
        <v>32.367933130699086</v>
      </c>
      <c r="E36" s="23">
        <f>'Financial Statements'!D12/'Financial Statements'!D39</f>
        <v>41.753016498399411</v>
      </c>
      <c r="F36" s="23"/>
    </row>
    <row r="37" spans="1:8" x14ac:dyDescent="0.2">
      <c r="A37" s="18">
        <f t="shared" si="2"/>
        <v>4.3999999999999986</v>
      </c>
      <c r="B37" s="1" t="s">
        <v>128</v>
      </c>
      <c r="C37" s="23">
        <f>'Financial Statements'!B22/'Financial Statements'!B48</f>
        <v>0.28292440929256851</v>
      </c>
      <c r="D37" s="23">
        <f>'Financial Statements'!C22/'Financial Statements'!C48</f>
        <v>0.26974205275183616</v>
      </c>
      <c r="E37" s="23">
        <f>'Financial Statements'!D22/'Financial Statements'!D48</f>
        <v>0.1772557180259843</v>
      </c>
      <c r="F37" s="23"/>
    </row>
    <row r="38" spans="1:8" x14ac:dyDescent="0.2">
      <c r="A38" s="18"/>
    </row>
    <row r="39" spans="1:8" x14ac:dyDescent="0.2">
      <c r="A39" s="18">
        <f>+A33+1</f>
        <v>5</v>
      </c>
      <c r="B39" s="17" t="s">
        <v>129</v>
      </c>
    </row>
    <row r="40" spans="1:8" x14ac:dyDescent="0.2">
      <c r="A40" s="18">
        <f>+A39+0.1</f>
        <v>5.0999999999999996</v>
      </c>
      <c r="B40" s="1" t="s">
        <v>130</v>
      </c>
      <c r="C40" s="23">
        <f>129/'Financial Statements'!B24</f>
        <v>20.975609756097558</v>
      </c>
      <c r="D40" s="23">
        <f>131/'Financial Statements'!C24</f>
        <v>23.104056437389772</v>
      </c>
      <c r="E40" s="23">
        <f>74/'Financial Statements'!D24</f>
        <v>22.356495468277945</v>
      </c>
      <c r="F40" s="23"/>
    </row>
    <row r="41" spans="1:8" x14ac:dyDescent="0.2">
      <c r="A41" s="18">
        <f t="shared" ref="A41:A44" si="3">+A40+0.1</f>
        <v>5.1999999999999993</v>
      </c>
      <c r="B41" s="3" t="s">
        <v>131</v>
      </c>
      <c r="C41" s="23">
        <f>'Financial Statements'!B22/('Financial Statements'!B28/1000)</f>
        <v>6.1132002014722815</v>
      </c>
      <c r="D41" s="23">
        <f>'Financial Statements'!C22/('Financial Statements'!C28/1000)</f>
        <v>5.6140204408927188</v>
      </c>
      <c r="E41" s="23">
        <f>'Financial Statements'!D22/('Financial Statements'!D28/1000)</f>
        <v>3.2753479618630856</v>
      </c>
      <c r="F41" s="30" t="s">
        <v>190</v>
      </c>
      <c r="G41" t="s">
        <v>163</v>
      </c>
      <c r="H41" t="s">
        <v>184</v>
      </c>
    </row>
    <row r="42" spans="1:8" x14ac:dyDescent="0.2">
      <c r="A42" s="18">
        <f t="shared" si="3"/>
        <v>5.2999999999999989</v>
      </c>
      <c r="B42" s="1" t="s">
        <v>132</v>
      </c>
      <c r="C42" s="23">
        <f>('List of Ratios'!C40*'Financial Statements'!B25)/C43</f>
        <v>41.291697400305736</v>
      </c>
      <c r="D42" s="23">
        <f>(D40*'Financial Statements'!C25)/'List of Ratios'!D43</f>
        <v>34.647733500978283</v>
      </c>
      <c r="E42" s="23">
        <f>('List of Ratios'!E40*'Financial Statements'!D25)/'List of Ratios'!E43</f>
        <v>19.671738975103072</v>
      </c>
      <c r="F42" s="23"/>
      <c r="G42" t="s">
        <v>164</v>
      </c>
      <c r="H42" t="s">
        <v>184</v>
      </c>
    </row>
    <row r="43" spans="1:8" x14ac:dyDescent="0.2">
      <c r="A43" s="18">
        <f t="shared" si="3"/>
        <v>5.3999999999999986</v>
      </c>
      <c r="B43" s="3" t="s">
        <v>133</v>
      </c>
      <c r="C43" s="39">
        <f>'Financial Statements'!B68/('Financial Statements'!B28/1000)</f>
        <v>3.1037952827971451</v>
      </c>
      <c r="D43" s="39">
        <f>'Financial Statements'!C68/('Financial Statements'!C28/1000)</f>
        <v>3.740901453484597</v>
      </c>
      <c r="E43" s="39">
        <f>'Financial Statements'!D68/('Financial Statements'!D28/1000)</f>
        <v>3.7276473233382479</v>
      </c>
      <c r="F43" s="23" t="s">
        <v>191</v>
      </c>
      <c r="G43" t="s">
        <v>165</v>
      </c>
      <c r="H43" t="s">
        <v>185</v>
      </c>
    </row>
    <row r="44" spans="1:8" x14ac:dyDescent="0.2">
      <c r="A44" s="18">
        <f t="shared" si="3"/>
        <v>5.4999999999999982</v>
      </c>
      <c r="B44" s="1" t="s">
        <v>134</v>
      </c>
      <c r="C44" s="23">
        <f>C45/C41</f>
        <v>0.14870294480125848</v>
      </c>
      <c r="D44" s="23">
        <f>D45/D41</f>
        <v>0.15279890156316012</v>
      </c>
      <c r="E44" s="23">
        <f>E45/E41</f>
        <v>-0.24526658654264863</v>
      </c>
      <c r="F44" s="23"/>
      <c r="G44" t="s">
        <v>167</v>
      </c>
      <c r="H44" t="s">
        <v>184</v>
      </c>
    </row>
    <row r="45" spans="1:8" x14ac:dyDescent="0.2">
      <c r="A45" s="18"/>
      <c r="B45" s="3" t="s">
        <v>135</v>
      </c>
      <c r="C45" s="23">
        <f>-('Financial Statements'!B102)/('Financial Statements'!B28/1000)</f>
        <v>0.90905087211857494</v>
      </c>
      <c r="D45" s="23">
        <f>(-'Financial Statements'!C102)/('Financial Statements'!C28/1000)</f>
        <v>0.85781615672153533</v>
      </c>
      <c r="E45" s="23">
        <f>('Financial Statements'!D102)/('Financial Statements'!D28/1000)</f>
        <v>-0.80333341434558025</v>
      </c>
      <c r="F45" s="23" t="s">
        <v>192</v>
      </c>
      <c r="G45" t="s">
        <v>166</v>
      </c>
      <c r="H45" t="s">
        <v>185</v>
      </c>
    </row>
    <row r="46" spans="1:8" x14ac:dyDescent="0.2">
      <c r="A46" s="18">
        <f>+A44+0.1</f>
        <v>5.5999999999999979</v>
      </c>
      <c r="B46" s="1" t="s">
        <v>136</v>
      </c>
      <c r="C46" s="23">
        <f>C45/('List of Ratios'!C40*'List of Ratios'!C41)</f>
        <v>7.089326438199533E-3</v>
      </c>
      <c r="D46" s="23">
        <f>D45/(D40*D41)</f>
        <v>6.613509708878763E-3</v>
      </c>
      <c r="E46" s="23">
        <f>E45/(E40*E41)</f>
        <v>-1.097070812778604E-2</v>
      </c>
      <c r="F46" s="23"/>
      <c r="G46" t="s">
        <v>169</v>
      </c>
      <c r="H46" t="s">
        <v>184</v>
      </c>
    </row>
    <row r="47" spans="1:8" x14ac:dyDescent="0.2">
      <c r="A47" s="18">
        <f t="shared" ref="A47:A50" si="4">+A45+0.1</f>
        <v>0.1</v>
      </c>
      <c r="B47" s="1" t="s">
        <v>137</v>
      </c>
      <c r="C47" s="23">
        <f>'Financial Statements'!B22/'Financial Statements'!B68</f>
        <v>1.9695887275023682</v>
      </c>
      <c r="D47" s="23">
        <f>'Financial Statements'!C22/'Financial Statements'!C68</f>
        <v>1.5007132667617689</v>
      </c>
      <c r="E47" s="23">
        <f>'Financial Statements'!D22/'Financial Statements'!D68</f>
        <v>0.87866358530127486</v>
      </c>
      <c r="F47" s="23"/>
    </row>
    <row r="48" spans="1:8" x14ac:dyDescent="0.2">
      <c r="A48" s="18">
        <f t="shared" si="4"/>
        <v>5.6999999999999975</v>
      </c>
      <c r="B48" s="1" t="s">
        <v>138</v>
      </c>
      <c r="C48" s="23">
        <f>'Financial Statements'!B20/('Financial Statements'!B68+'Financial Statements'!B59)</f>
        <v>0.79597810614110709</v>
      </c>
      <c r="D48" s="23">
        <f>'Financial Statements'!C20/('Financial Statements'!C68+'Financial Statements'!C59)</f>
        <v>0.63420172361727334</v>
      </c>
      <c r="E48" s="23">
        <f>'Financial Statements'!D20/('Financial Statements'!D68+'Financial Statements'!D59)</f>
        <v>0.40907649720132189</v>
      </c>
      <c r="F48" s="23"/>
      <c r="G48" t="s">
        <v>168</v>
      </c>
      <c r="H48" t="s">
        <v>184</v>
      </c>
    </row>
    <row r="49" spans="1:8" x14ac:dyDescent="0.2">
      <c r="A49" s="18">
        <f t="shared" si="4"/>
        <v>0.2</v>
      </c>
      <c r="B49" s="1" t="s">
        <v>128</v>
      </c>
      <c r="C49" s="23">
        <f>'Financial Statements'!B22/'Financial Statements'!B48</f>
        <v>0.28292440929256851</v>
      </c>
      <c r="D49" s="23">
        <f>'Financial Statements'!C22/'Financial Statements'!C48</f>
        <v>0.26974205275183616</v>
      </c>
      <c r="E49" s="23">
        <f>'Financial Statements'!D22/'Financial Statements'!D48</f>
        <v>0.1772557180259843</v>
      </c>
      <c r="F49" s="23"/>
    </row>
    <row r="50" spans="1:8" x14ac:dyDescent="0.2">
      <c r="A50" s="18">
        <f t="shared" si="4"/>
        <v>5.7999999999999972</v>
      </c>
      <c r="B50" s="1" t="s">
        <v>139</v>
      </c>
      <c r="C50" s="32">
        <f>C51/C19</f>
        <v>5.3227172214093654</v>
      </c>
      <c r="D50" s="32">
        <f>D51/D19</f>
        <v>5130.3391880013669</v>
      </c>
      <c r="E50" s="32">
        <f>E51/E19</f>
        <v>4502.6496718637127</v>
      </c>
      <c r="F50" s="32"/>
      <c r="G50" t="s">
        <v>170</v>
      </c>
      <c r="H50" t="s">
        <v>184</v>
      </c>
    </row>
    <row r="51" spans="1:8" x14ac:dyDescent="0.2">
      <c r="A51" s="18"/>
      <c r="B51" s="3" t="s">
        <v>140</v>
      </c>
      <c r="C51" s="23">
        <f>C53+'Financial Statements'!B55+'Financial Statements'!B59-'Financial Statements'!B110</f>
        <v>694832.82880000002</v>
      </c>
      <c r="D51" s="23">
        <f>D52+'Financial Statements'!C59+'Financial Statements'!C55-'Financial Statements'!C110</f>
        <v>616836071.59096837</v>
      </c>
      <c r="E51" s="23">
        <f>E52+'Financial Statements'!D59+'Financial Statements'!D55-'Financial Statements'!D110</f>
        <v>348252936.22062701</v>
      </c>
      <c r="F51" s="23"/>
      <c r="G51" t="s">
        <v>171</v>
      </c>
      <c r="H51" t="s">
        <v>185</v>
      </c>
    </row>
    <row r="52" spans="1:8" x14ac:dyDescent="0.2">
      <c r="B52" s="1"/>
      <c r="D52">
        <f>(D40*D41)*4754986</f>
        <v>616753281.59096837</v>
      </c>
      <c r="E52">
        <f>(E40*E41)*4754986</f>
        <v>348185285.22062701</v>
      </c>
    </row>
    <row r="53" spans="1:8" x14ac:dyDescent="0.2">
      <c r="C53">
        <v>609722.82880000002</v>
      </c>
    </row>
    <row r="54" spans="1:8" x14ac:dyDescent="0.2">
      <c r="B54" t="s">
        <v>150</v>
      </c>
      <c r="C54" s="24">
        <f>('Financial Statements'!B8-'Financial Statements'!C8)/'Financial Statements'!C8*100</f>
        <v>7.7937876041846055</v>
      </c>
      <c r="D54" s="24">
        <f>('Financial Statements'!C8-'Financial Statements'!D8)/'Financial Statements'!D8*100</f>
        <v>33.25938473307469</v>
      </c>
      <c r="E54" s="24">
        <f>('Financial Statements'!D13/'Financial Statements'!D8)*100</f>
        <v>38.233247727810863</v>
      </c>
      <c r="F54" s="24"/>
      <c r="G54" t="s">
        <v>182</v>
      </c>
    </row>
    <row r="55" spans="1:8" x14ac:dyDescent="0.2">
      <c r="B55" t="s">
        <v>151</v>
      </c>
    </row>
    <row r="56" spans="1:8" x14ac:dyDescent="0.2">
      <c r="C56" s="38" t="s">
        <v>172</v>
      </c>
      <c r="D56" s="38"/>
      <c r="E56" s="38"/>
      <c r="F56" s="38"/>
      <c r="G56" s="38"/>
    </row>
    <row r="57" spans="1:8" x14ac:dyDescent="0.2">
      <c r="B57" s="35" t="s">
        <v>173</v>
      </c>
      <c r="C57" s="35"/>
      <c r="D57" s="35"/>
      <c r="E57" s="35"/>
      <c r="F57" s="35"/>
      <c r="G57" s="35"/>
      <c r="H57" s="35"/>
    </row>
    <row r="58" spans="1:8" x14ac:dyDescent="0.2">
      <c r="B58" s="18">
        <v>1</v>
      </c>
      <c r="C58" s="7" t="s">
        <v>174</v>
      </c>
      <c r="D58" s="31"/>
    </row>
    <row r="59" spans="1:8" x14ac:dyDescent="0.2">
      <c r="B59">
        <v>1.1000000000000001</v>
      </c>
      <c r="C59" s="27" t="s">
        <v>4</v>
      </c>
      <c r="D59" s="33">
        <f>('Financial Statements'!B6-'Financial Statements'!D6)/'Financial Statements'!D6</f>
        <v>0.43240451738868479</v>
      </c>
      <c r="E59" s="23"/>
      <c r="F59" s="23"/>
      <c r="G59" s="26"/>
      <c r="H59" s="26"/>
    </row>
    <row r="60" spans="1:8" x14ac:dyDescent="0.2">
      <c r="B60">
        <v>1.2</v>
      </c>
      <c r="C60" s="27" t="s">
        <v>5</v>
      </c>
      <c r="D60" s="33">
        <f>('Financial Statements'!B7-'Financial Statements'!D7)/'Financial Statements'!D7</f>
        <v>0.45307617914000892</v>
      </c>
      <c r="E60" s="18"/>
      <c r="F60" s="18"/>
      <c r="G60" s="26"/>
      <c r="H60" s="26"/>
    </row>
    <row r="61" spans="1:8" x14ac:dyDescent="0.2">
      <c r="B61">
        <v>1.3</v>
      </c>
      <c r="C61" s="27" t="s">
        <v>6</v>
      </c>
      <c r="D61" s="33">
        <f>('Financial Statements'!B8-'Financial Statements'!D8)/'Financial Statements'!D8</f>
        <v>0.43645338141813744</v>
      </c>
      <c r="E61" s="23"/>
      <c r="F61" s="23"/>
      <c r="G61" s="26"/>
      <c r="H61" s="26"/>
    </row>
    <row r="62" spans="1:8" x14ac:dyDescent="0.2">
      <c r="D62" s="34"/>
      <c r="G62" s="26"/>
      <c r="H62" s="26"/>
    </row>
    <row r="63" spans="1:8" x14ac:dyDescent="0.2">
      <c r="B63" s="18">
        <v>2</v>
      </c>
      <c r="C63" s="17" t="s">
        <v>175</v>
      </c>
      <c r="D63" s="33">
        <f>('Financial Statements'!B13-'Financial Statements'!D13)/'Financial Statements'!D13</f>
        <v>0.62717710278592931</v>
      </c>
      <c r="E63" s="23"/>
      <c r="F63" s="23"/>
      <c r="G63" s="26"/>
      <c r="H63" s="26"/>
    </row>
    <row r="64" spans="1:8" x14ac:dyDescent="0.2">
      <c r="B64" s="18"/>
      <c r="G64" s="26"/>
      <c r="H64" s="26"/>
    </row>
    <row r="65" spans="2:8" x14ac:dyDescent="0.2">
      <c r="B65" s="18">
        <v>3</v>
      </c>
      <c r="C65" s="17" t="s">
        <v>176</v>
      </c>
      <c r="G65" s="26"/>
      <c r="H65" s="26"/>
    </row>
    <row r="66" spans="2:8" x14ac:dyDescent="0.2">
      <c r="B66" s="18">
        <v>3.1</v>
      </c>
      <c r="C66" s="27" t="s">
        <v>11</v>
      </c>
      <c r="D66" s="33">
        <f>('Financial Statements'!B15-'Financial Statements'!D15)/'Financial Statements'!D15</f>
        <v>0.39990401023890787</v>
      </c>
      <c r="E66" s="23"/>
      <c r="F66" s="23"/>
      <c r="G66" s="26"/>
      <c r="H66" s="26"/>
    </row>
    <row r="67" spans="2:8" x14ac:dyDescent="0.2">
      <c r="B67" s="18">
        <v>3.2</v>
      </c>
      <c r="C67" s="27" t="s">
        <v>12</v>
      </c>
      <c r="D67" s="33">
        <f>('Financial Statements'!B16-'Financial Statements'!D16)/'Financial Statements'!D16</f>
        <v>0.2599919662582848</v>
      </c>
      <c r="E67" s="23"/>
      <c r="F67" s="23"/>
      <c r="G67" s="26"/>
      <c r="H67" s="26"/>
    </row>
    <row r="68" spans="2:8" x14ac:dyDescent="0.2">
      <c r="B68" s="18">
        <v>3.3</v>
      </c>
      <c r="C68" s="27" t="s">
        <v>13</v>
      </c>
      <c r="D68" s="33">
        <f>('Financial Statements'!B17-'Financial Statements'!D17)/'Financial Statements'!D17</f>
        <v>0.3278421433743664</v>
      </c>
      <c r="E68" s="23"/>
      <c r="F68" s="23"/>
      <c r="G68" s="26"/>
      <c r="H68" s="26"/>
    </row>
    <row r="69" spans="2:8" x14ac:dyDescent="0.2">
      <c r="B69" s="18"/>
      <c r="C69" s="27"/>
    </row>
    <row r="70" spans="2:8" x14ac:dyDescent="0.2">
      <c r="B70" s="18">
        <v>4</v>
      </c>
      <c r="C70" s="17" t="s">
        <v>177</v>
      </c>
    </row>
    <row r="71" spans="2:8" x14ac:dyDescent="0.2">
      <c r="B71" s="18">
        <v>4.0999999999999996</v>
      </c>
      <c r="C71" s="27" t="s">
        <v>31</v>
      </c>
      <c r="D71" s="33">
        <f>('Financial Statements'!B42-'Financial Statements'!D42)/'Financial Statements'!D42</f>
        <v>-5.7809662313082322E-2</v>
      </c>
      <c r="E71" s="23"/>
      <c r="F71" s="23"/>
      <c r="G71" s="26"/>
      <c r="H71" s="26"/>
    </row>
    <row r="72" spans="2:8" x14ac:dyDescent="0.2">
      <c r="B72" s="18">
        <v>4.2</v>
      </c>
      <c r="C72" s="27" t="s">
        <v>50</v>
      </c>
      <c r="D72" s="33">
        <f>('Financial Statements'!B47-'Financial Statements'!D47)/'Financial Statements'!D47</f>
        <v>0.20632718190647981</v>
      </c>
      <c r="E72" s="23"/>
      <c r="F72" s="23"/>
      <c r="G72" s="26"/>
      <c r="H72" s="26"/>
    </row>
    <row r="73" spans="2:8" x14ac:dyDescent="0.2">
      <c r="B73" s="18">
        <v>4.3</v>
      </c>
      <c r="C73" s="27" t="s">
        <v>33</v>
      </c>
      <c r="D73" s="33">
        <f>('Financial Statements'!B48-'Financial Statements'!D48)/'Financial Statements'!D48</f>
        <v>8.9126488168749685E-2</v>
      </c>
      <c r="E73" s="23"/>
      <c r="F73" s="23"/>
      <c r="G73" s="26"/>
      <c r="H73" s="26"/>
    </row>
    <row r="74" spans="2:8" x14ac:dyDescent="0.2">
      <c r="B74" s="18">
        <v>4.4000000000000004</v>
      </c>
      <c r="C74" s="27" t="s">
        <v>40</v>
      </c>
      <c r="D74" s="33">
        <f>('Financial Statements'!B56-'Financial Statements'!D56)/'Financial Statements'!D56</f>
        <v>0.46104068620009109</v>
      </c>
      <c r="E74" s="23"/>
      <c r="F74" s="23"/>
      <c r="G74" s="26"/>
      <c r="H74" s="26"/>
    </row>
    <row r="75" spans="2:8" x14ac:dyDescent="0.2">
      <c r="B75" s="18">
        <v>4.5</v>
      </c>
      <c r="C75" s="27" t="s">
        <v>53</v>
      </c>
      <c r="D75" s="33">
        <f>('Financial Statements'!B61-'Financial Statements'!D61)/'Financial Statements'!D61</f>
        <v>-3.3011876701685199E-2</v>
      </c>
      <c r="E75" s="26"/>
      <c r="F75" s="26"/>
      <c r="G75" s="26"/>
      <c r="H75" s="26"/>
    </row>
    <row r="76" spans="2:8" x14ac:dyDescent="0.2">
      <c r="B76" s="18">
        <v>4.5999999999999996</v>
      </c>
      <c r="C76" s="27" t="s">
        <v>41</v>
      </c>
      <c r="D76" s="33">
        <f>('Financial Statements'!B62-'Financial Statements'!D62)/'Financial Statements'!D62</f>
        <v>0.16837814108737609</v>
      </c>
      <c r="E76" s="26"/>
      <c r="F76" s="26"/>
      <c r="G76" s="26"/>
      <c r="H76" s="26"/>
    </row>
    <row r="77" spans="2:8" x14ac:dyDescent="0.2">
      <c r="B77" s="18">
        <v>4.7</v>
      </c>
      <c r="C77" s="27" t="s">
        <v>45</v>
      </c>
      <c r="D77" s="33">
        <f>('Financial Statements'!B68-'Financial Statements'!D68)/'Financial Statements'!D68</f>
        <v>-0.2244754281516399</v>
      </c>
      <c r="E77" s="26"/>
      <c r="F77" s="26"/>
      <c r="G77" s="26"/>
      <c r="H77" s="26"/>
    </row>
    <row r="78" spans="2:8" x14ac:dyDescent="0.2">
      <c r="B78" s="18">
        <v>4.8</v>
      </c>
      <c r="C78" s="27" t="s">
        <v>46</v>
      </c>
      <c r="D78" s="33">
        <f>('Financial Statements'!B69-'Financial Statements'!D69)/'Financial Statements'!D69</f>
        <v>8.9126488168749685E-2</v>
      </c>
      <c r="E78" s="26"/>
      <c r="F78" s="26"/>
      <c r="G78" s="26"/>
      <c r="H78" s="26"/>
    </row>
    <row r="81" spans="2:9" x14ac:dyDescent="0.2">
      <c r="B81" s="37" t="s">
        <v>178</v>
      </c>
      <c r="C81" s="37"/>
      <c r="D81" s="37"/>
      <c r="E81" s="37"/>
      <c r="F81" s="37"/>
      <c r="G81" s="37"/>
      <c r="H81" s="37"/>
    </row>
    <row r="82" spans="2:9" x14ac:dyDescent="0.2">
      <c r="D82">
        <v>2022</v>
      </c>
      <c r="E82">
        <v>2021</v>
      </c>
      <c r="G82">
        <v>2020</v>
      </c>
      <c r="H82" t="s">
        <v>186</v>
      </c>
    </row>
    <row r="83" spans="2:9" x14ac:dyDescent="0.2">
      <c r="B83" s="18">
        <v>5</v>
      </c>
      <c r="C83" s="27" t="s">
        <v>179</v>
      </c>
      <c r="D83" s="33">
        <f>('Financial Statements'!B12/'Financial Statements'!B8)</f>
        <v>0.56690369438639909</v>
      </c>
      <c r="E83" s="33">
        <f>'Financial Statements'!C12/'Financial Statements'!C8</f>
        <v>0.58220640374832222</v>
      </c>
      <c r="F83" s="33"/>
      <c r="G83" s="33">
        <f>'Financial Statements'!D12/'Financial Statements'!D8</f>
        <v>0.61766752272189129</v>
      </c>
      <c r="H83" s="33">
        <f>MEDIAN(D83:G83)</f>
        <v>0.58220640374832222</v>
      </c>
    </row>
    <row r="84" spans="2:9" x14ac:dyDescent="0.2">
      <c r="B84" s="18">
        <v>6</v>
      </c>
      <c r="C84" s="27" t="s">
        <v>89</v>
      </c>
      <c r="D84" s="33">
        <f>'Financial Statements'!B13/'Financial Statements'!B8</f>
        <v>0.43309630561360085</v>
      </c>
      <c r="E84" s="33">
        <f>'Financial Statements'!C13/'Financial Statements'!C8</f>
        <v>0.41779359625167778</v>
      </c>
      <c r="F84" s="33"/>
      <c r="G84" s="33">
        <f>'Financial Statements'!D13/'Financial Statements'!D8</f>
        <v>0.38233247727810865</v>
      </c>
      <c r="H84" s="33">
        <f>MEDIAN(D84:G84)</f>
        <v>0.41779359625167778</v>
      </c>
    </row>
    <row r="85" spans="2:9" x14ac:dyDescent="0.2">
      <c r="B85" s="18">
        <v>6</v>
      </c>
      <c r="C85" s="17" t="s">
        <v>90</v>
      </c>
      <c r="D85" s="33"/>
      <c r="E85" s="33"/>
      <c r="F85" s="33"/>
      <c r="G85" s="33"/>
      <c r="H85" s="33"/>
    </row>
    <row r="86" spans="2:9" x14ac:dyDescent="0.2">
      <c r="B86">
        <v>6.1</v>
      </c>
      <c r="C86" s="27" t="s">
        <v>11</v>
      </c>
      <c r="D86" s="33">
        <f>'Financial Statements'!B15/'Financial Statements'!B8</f>
        <v>6.657148363798665E-2</v>
      </c>
      <c r="E86" s="33">
        <f>'Financial Statements'!C15/'Financial Statements'!C8</f>
        <v>5.9904269074427925E-2</v>
      </c>
      <c r="F86" s="33"/>
      <c r="G86" s="33">
        <f>'Financial Statements'!D15/'Financial Statements'!D8</f>
        <v>6.8309564140393061E-2</v>
      </c>
      <c r="H86" s="33">
        <f>MEDIAN(D86:G86)</f>
        <v>6.657148363798665E-2</v>
      </c>
    </row>
    <row r="87" spans="2:9" x14ac:dyDescent="0.2">
      <c r="B87">
        <v>6.2</v>
      </c>
      <c r="C87" s="27" t="s">
        <v>12</v>
      </c>
      <c r="D87" s="33">
        <f>'Financial Statements'!B16/'Financial Statements'!B8</f>
        <v>6.3637378020328261E-2</v>
      </c>
      <c r="E87" s="33">
        <f>'Financial Statements'!C16/'Financial Statements'!C8</f>
        <v>6.006555190163388E-2</v>
      </c>
      <c r="F87" s="33"/>
      <c r="G87" s="33">
        <f>'Financial Statements'!D16/'Financial Statements'!D8</f>
        <v>7.2549769593646979E-2</v>
      </c>
      <c r="H87" s="33">
        <f>MEDIAN(D87:G87)</f>
        <v>6.3637378020328261E-2</v>
      </c>
    </row>
    <row r="88" spans="2:9" x14ac:dyDescent="0.2">
      <c r="B88" s="18">
        <v>7</v>
      </c>
      <c r="C88" s="27" t="s">
        <v>14</v>
      </c>
      <c r="D88" s="33">
        <f>'Financial Statements'!B18/'Financial Statements'!B8</f>
        <v>0.30288744395528594</v>
      </c>
      <c r="E88" s="33">
        <f>'Financial Statements'!C18/'Financial Statements'!C8</f>
        <v>0.29782377527561593</v>
      </c>
      <c r="F88" s="33"/>
      <c r="G88" s="33">
        <f>'Financial Statements'!D18/'Financial Statements'!D8</f>
        <v>0.24147314354406862</v>
      </c>
      <c r="H88" s="33">
        <f>MEDIAN(D88:G88)</f>
        <v>0.29782377527561593</v>
      </c>
    </row>
    <row r="89" spans="2:9" x14ac:dyDescent="0.2">
      <c r="B89" s="18">
        <v>8</v>
      </c>
      <c r="C89" s="27" t="s">
        <v>93</v>
      </c>
      <c r="D89" s="33">
        <f>'Financial Statements'!B22/'Financial Statements'!B8</f>
        <v>0.25309640705199732</v>
      </c>
      <c r="E89" s="33">
        <f>'Financial Statements'!C22/'Financial Statements'!C8</f>
        <v>0.25881793355694238</v>
      </c>
      <c r="F89" s="33"/>
      <c r="G89" s="33">
        <f>'Financial Statements'!D22/'Financial Statements'!D8</f>
        <v>0.20913611278072236</v>
      </c>
      <c r="H89" s="33">
        <f>MEDIAN(D89:G89)</f>
        <v>0.25309640705199732</v>
      </c>
    </row>
    <row r="92" spans="2:9" x14ac:dyDescent="0.2">
      <c r="B92" s="35" t="s">
        <v>180</v>
      </c>
      <c r="C92" s="35"/>
      <c r="D92" s="35"/>
      <c r="E92" s="35"/>
      <c r="F92" s="35"/>
      <c r="G92" s="35"/>
      <c r="H92" s="35"/>
      <c r="I92" t="s">
        <v>187</v>
      </c>
    </row>
    <row r="93" spans="2:9" x14ac:dyDescent="0.2">
      <c r="B93" s="18">
        <v>9</v>
      </c>
      <c r="C93" s="27" t="s">
        <v>94</v>
      </c>
      <c r="D93" s="33">
        <f>'Financial Statements'!B113/'Financial Statements'!B8</f>
        <v>4.9636343348684345E-2</v>
      </c>
      <c r="E93" s="33">
        <f>'Financial Statements'!C113/'Financial Statements'!C8</f>
        <v>6.9392619807171346E-2</v>
      </c>
      <c r="F93" s="33"/>
      <c r="G93" s="33">
        <f>'Financial Statements'!D113/'Financial Statements'!D8</f>
        <v>3.4610130593956616E-2</v>
      </c>
      <c r="H93" s="18"/>
      <c r="I93" s="34">
        <f>MEDIAN(D93:G93)</f>
        <v>4.9636343348684345E-2</v>
      </c>
    </row>
    <row r="94" spans="2:9" x14ac:dyDescent="0.2">
      <c r="B94" s="18">
        <v>10</v>
      </c>
      <c r="C94" s="27" t="s">
        <v>95</v>
      </c>
      <c r="D94" s="33">
        <f>('Financial Statements'!B45+'Financial Statements'!B79)/'Financial Statements'!B8</f>
        <v>0.13496632245237467</v>
      </c>
      <c r="E94" s="33">
        <f>('Financial Statements'!C45+'Financial Statements'!C79)/'Financial Statements'!C8</f>
        <v>0.13865949368126687</v>
      </c>
      <c r="F94" s="33"/>
      <c r="G94" s="33">
        <f>('Financial Statements'!D45+'Financial Statements'!D79)/'Financial Statements'!D8</f>
        <v>0.17420541682603866</v>
      </c>
      <c r="H94" s="26"/>
      <c r="I94" s="34">
        <f>MEDIAN(D94:G94)</f>
        <v>0.13865949368126687</v>
      </c>
    </row>
    <row r="95" spans="2:9" x14ac:dyDescent="0.2">
      <c r="B95" s="18">
        <v>11</v>
      </c>
      <c r="C95" s="27" t="s">
        <v>96</v>
      </c>
      <c r="D95" s="33">
        <f>('Financial Statements'!B45+'Financial Statements'!B79)/'Financial Statements'!B47</f>
        <v>0.24486312399355878</v>
      </c>
      <c r="E95" s="33">
        <f>('Financial Statements'!C45+'Financial Statements'!C79)/'Financial Statements'!C47</f>
        <v>0.23465299815882237</v>
      </c>
      <c r="F95" s="33"/>
      <c r="G95" s="33">
        <f>('Financial Statements'!D45+'Financial Statements'!D79)/'Financial Statements'!D47</f>
        <v>0.265419730817261</v>
      </c>
      <c r="H95" s="26"/>
      <c r="I95" s="34">
        <f>MEDIAN(D95:G95)</f>
        <v>0.24486312399355878</v>
      </c>
    </row>
    <row r="96" spans="2:9" x14ac:dyDescent="0.2">
      <c r="C96" s="27" t="s">
        <v>181</v>
      </c>
      <c r="E96" s="12"/>
      <c r="F96" s="12"/>
      <c r="G96" s="12"/>
      <c r="H96" s="12"/>
    </row>
  </sheetData>
  <mergeCells count="5">
    <mergeCell ref="C2:E2"/>
    <mergeCell ref="B57:H57"/>
    <mergeCell ref="B81:H81"/>
    <mergeCell ref="B92:H92"/>
    <mergeCell ref="C56:G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Statements</vt:lpstr>
      <vt:lpstr>List of Ratios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Martha Rutherford (UG)</cp:lastModifiedBy>
  <dcterms:created xsi:type="dcterms:W3CDTF">2020-05-18T16:32:37Z</dcterms:created>
  <dcterms:modified xsi:type="dcterms:W3CDTF">2023-10-26T13:43:03Z</dcterms:modified>
</cp:coreProperties>
</file>