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R101544\Downloads\QCP SAM\"/>
    </mc:Choice>
  </mc:AlternateContent>
  <xr:revisionPtr revIDLastSave="0" documentId="8_{8B3990C9-4684-4BD7-AADA-FC323B18C67C}" xr6:coauthVersionLast="47" xr6:coauthVersionMax="47" xr10:uidLastSave="{00000000-0000-0000-0000-000000000000}"/>
  <bookViews>
    <workbookView xWindow="-22095" yWindow="1155" windowWidth="21600" windowHeight="11325" firstSheet="2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2" l="1"/>
  <c r="H79" i="2"/>
  <c r="F79" i="2"/>
  <c r="G76" i="2"/>
  <c r="H76" i="2"/>
  <c r="F76" i="2"/>
  <c r="C41" i="3"/>
  <c r="D41" i="3"/>
  <c r="E41" i="3"/>
  <c r="G61" i="2"/>
  <c r="H61" i="2"/>
  <c r="G62" i="2"/>
  <c r="H62" i="2"/>
  <c r="F61" i="2"/>
  <c r="G60" i="2"/>
  <c r="H60" i="2"/>
  <c r="F60" i="2"/>
  <c r="F59" i="2"/>
  <c r="H56" i="2"/>
  <c r="G56" i="2"/>
  <c r="H55" i="2"/>
  <c r="G55" i="2"/>
  <c r="G50" i="2"/>
  <c r="H50" i="2"/>
  <c r="F50" i="2"/>
  <c r="G48" i="2"/>
  <c r="H48" i="2"/>
  <c r="F48" i="2"/>
  <c r="G51" i="2"/>
  <c r="H51" i="2"/>
  <c r="F51" i="2"/>
  <c r="F49" i="2"/>
  <c r="G49" i="2"/>
  <c r="H49" i="2"/>
  <c r="G39" i="2"/>
  <c r="G40" i="2"/>
  <c r="F39" i="2"/>
  <c r="F40" i="2"/>
  <c r="F38" i="2"/>
  <c r="G38" i="2"/>
  <c r="H38" i="2"/>
  <c r="I38" i="2"/>
  <c r="J38" i="2"/>
  <c r="H72" i="2"/>
  <c r="E40" i="3"/>
  <c r="L14" i="2"/>
  <c r="J16" i="3" s="1"/>
  <c r="M26" i="2"/>
  <c r="J31" i="3" s="1"/>
  <c r="N26" i="2"/>
  <c r="K31" i="3" s="1"/>
  <c r="L26" i="2"/>
  <c r="I31" i="3" s="1"/>
  <c r="I36" i="3"/>
  <c r="I37" i="3"/>
  <c r="L16" i="2"/>
  <c r="I18" i="3" s="1"/>
  <c r="L13" i="2"/>
  <c r="J14" i="3" s="1"/>
  <c r="K13" i="2"/>
  <c r="I14" i="3" s="1"/>
  <c r="M33" i="2"/>
  <c r="N33" i="2"/>
  <c r="M32" i="2"/>
  <c r="N32" i="2"/>
  <c r="M28" i="2"/>
  <c r="J35" i="3" s="1"/>
  <c r="N28" i="2"/>
  <c r="K35" i="3" s="1"/>
  <c r="L28" i="2"/>
  <c r="I35" i="3" s="1"/>
  <c r="M25" i="2"/>
  <c r="J30" i="3" s="1"/>
  <c r="N25" i="2"/>
  <c r="K30" i="3" s="1"/>
  <c r="M24" i="2"/>
  <c r="J29" i="3" s="1"/>
  <c r="N24" i="2"/>
  <c r="K29" i="3" s="1"/>
  <c r="L25" i="2"/>
  <c r="I30" i="3" s="1"/>
  <c r="L24" i="2"/>
  <c r="I29" i="3" s="1"/>
  <c r="M22" i="2"/>
  <c r="J27" i="3" s="1"/>
  <c r="N22" i="2"/>
  <c r="K27" i="3" s="1"/>
  <c r="L22" i="2"/>
  <c r="I27" i="3" s="1"/>
  <c r="M20" i="2"/>
  <c r="M18" i="2"/>
  <c r="L18" i="2"/>
  <c r="I21" i="3" s="1"/>
  <c r="M17" i="2"/>
  <c r="L17" i="2"/>
  <c r="I20" i="3" s="1"/>
  <c r="M16" i="2"/>
  <c r="M14" i="2"/>
  <c r="K14" i="2"/>
  <c r="I16" i="3" s="1"/>
  <c r="L12" i="2"/>
  <c r="J12" i="3" s="1"/>
  <c r="M12" i="2"/>
  <c r="K12" i="2"/>
  <c r="I12" i="3" s="1"/>
  <c r="E7" i="2"/>
  <c r="L23" i="2" s="1"/>
  <c r="I28" i="3" s="1"/>
  <c r="K6" i="2"/>
  <c r="I6" i="3" s="1"/>
  <c r="L6" i="2"/>
  <c r="J6" i="3" s="1"/>
  <c r="M6" i="2"/>
  <c r="L5" i="2"/>
  <c r="J5" i="3" s="1"/>
  <c r="M5" i="2"/>
  <c r="K5" i="2"/>
  <c r="I5" i="3" s="1"/>
  <c r="L4" i="2"/>
  <c r="J4" i="3" s="1"/>
  <c r="M4" i="2"/>
  <c r="K4" i="2"/>
  <c r="I4" i="3" s="1"/>
  <c r="F75" i="2"/>
  <c r="D51" i="3"/>
  <c r="E51" i="3"/>
  <c r="G77" i="2"/>
  <c r="D49" i="3" s="1"/>
  <c r="H77" i="2"/>
  <c r="E49" i="3" s="1"/>
  <c r="F77" i="2"/>
  <c r="D48" i="3"/>
  <c r="E48" i="3"/>
  <c r="G75" i="2"/>
  <c r="D47" i="3" s="1"/>
  <c r="H75" i="2"/>
  <c r="E47" i="3" s="1"/>
  <c r="F74" i="2"/>
  <c r="G74" i="2"/>
  <c r="D43" i="3" s="1"/>
  <c r="H74" i="2"/>
  <c r="E43" i="3" s="1"/>
  <c r="G72" i="2"/>
  <c r="D40" i="3" s="1"/>
  <c r="F72" i="2"/>
  <c r="C40" i="3" s="1"/>
  <c r="G57" i="2"/>
  <c r="D27" i="3" s="1"/>
  <c r="F55" i="2"/>
  <c r="D24" i="3"/>
  <c r="C24" i="3" s="1"/>
  <c r="G68" i="2"/>
  <c r="D37" i="3" s="1"/>
  <c r="H68" i="2"/>
  <c r="E37" i="3" s="1"/>
  <c r="F68" i="2"/>
  <c r="G67" i="2"/>
  <c r="D36" i="3" s="1"/>
  <c r="H67" i="2"/>
  <c r="E36" i="3" s="1"/>
  <c r="F67" i="2"/>
  <c r="G66" i="2"/>
  <c r="D35" i="3" s="1"/>
  <c r="H66" i="2"/>
  <c r="E35" i="3" s="1"/>
  <c r="F66" i="2"/>
  <c r="G65" i="2"/>
  <c r="D34" i="3" s="1"/>
  <c r="H65" i="2"/>
  <c r="E34" i="3" s="1"/>
  <c r="F65" i="2"/>
  <c r="F58" i="2"/>
  <c r="C28" i="3" s="1"/>
  <c r="G59" i="2"/>
  <c r="D29" i="3" s="1"/>
  <c r="E30" i="3"/>
  <c r="F62" i="2"/>
  <c r="C30" i="3" s="1"/>
  <c r="D30" i="3" l="1"/>
  <c r="D31" i="3"/>
  <c r="N30" i="2"/>
  <c r="K37" i="3" s="1"/>
  <c r="N29" i="2"/>
  <c r="K36" i="3" s="1"/>
  <c r="M30" i="2"/>
  <c r="J37" i="3" s="1"/>
  <c r="M29" i="2"/>
  <c r="J36" i="3" s="1"/>
  <c r="C51" i="3"/>
  <c r="E31" i="3"/>
  <c r="C31" i="3"/>
  <c r="H59" i="2" l="1"/>
  <c r="E29" i="3" s="1"/>
  <c r="G58" i="2"/>
  <c r="D28" i="3" s="1"/>
  <c r="H58" i="2"/>
  <c r="E28" i="3" s="1"/>
  <c r="H57" i="2"/>
  <c r="E27" i="3" s="1"/>
  <c r="F57" i="2"/>
  <c r="F56" i="2"/>
  <c r="D53" i="2"/>
  <c r="C53" i="2"/>
  <c r="G52" i="2"/>
  <c r="D22" i="3" s="1"/>
  <c r="H52" i="2"/>
  <c r="E22" i="3" s="1"/>
  <c r="F52" i="2"/>
  <c r="C22" i="3" s="1"/>
  <c r="D21" i="3"/>
  <c r="E21" i="3"/>
  <c r="C21" i="3"/>
  <c r="D20" i="3"/>
  <c r="E20" i="3"/>
  <c r="C20" i="3"/>
  <c r="D18" i="3"/>
  <c r="E18" i="3"/>
  <c r="C18" i="3"/>
  <c r="F7" i="2"/>
  <c r="G7" i="2"/>
  <c r="F47" i="2"/>
  <c r="C17" i="3" s="1"/>
  <c r="G43" i="2"/>
  <c r="E13" i="3" s="1"/>
  <c r="G44" i="2"/>
  <c r="E14" i="3" s="1"/>
  <c r="F44" i="2"/>
  <c r="D14" i="3" s="1"/>
  <c r="F43" i="2"/>
  <c r="D13" i="3" s="1"/>
  <c r="G41" i="2"/>
  <c r="E10" i="3"/>
  <c r="F41" i="2"/>
  <c r="D11" i="3" s="1"/>
  <c r="D10" i="3"/>
  <c r="E9" i="3"/>
  <c r="E8" i="3"/>
  <c r="D8" i="3"/>
  <c r="G37" i="2"/>
  <c r="E7" i="3" s="1"/>
  <c r="D9" i="3" l="1"/>
  <c r="F42" i="2"/>
  <c r="D12" i="3" s="1"/>
  <c r="G42" i="2"/>
  <c r="E12" i="3" s="1"/>
  <c r="D25" i="3"/>
  <c r="D26" i="3"/>
  <c r="C19" i="3"/>
  <c r="F78" i="2"/>
  <c r="C50" i="3" s="1"/>
  <c r="E19" i="3"/>
  <c r="H78" i="2"/>
  <c r="E50" i="3" s="1"/>
  <c r="H47" i="2"/>
  <c r="E17" i="3" s="1"/>
  <c r="M8" i="2"/>
  <c r="L8" i="2"/>
  <c r="J8" i="3" s="1"/>
  <c r="N23" i="2"/>
  <c r="K28" i="3" s="1"/>
  <c r="D19" i="3"/>
  <c r="G78" i="2"/>
  <c r="D50" i="3" s="1"/>
  <c r="G47" i="2"/>
  <c r="D17" i="3" s="1"/>
  <c r="M23" i="2"/>
  <c r="J28" i="3" s="1"/>
  <c r="K8" i="2"/>
  <c r="I8" i="3" s="1"/>
  <c r="E26" i="3"/>
  <c r="M19" i="2"/>
  <c r="L19" i="2"/>
  <c r="E25" i="3"/>
  <c r="E11" i="3"/>
  <c r="F37" i="2"/>
  <c r="D7" i="3" s="1"/>
  <c r="G35" i="2"/>
  <c r="E6" i="3" s="1"/>
  <c r="F35" i="2"/>
  <c r="D6" i="3" s="1"/>
  <c r="G33" i="2"/>
  <c r="E5" i="3" s="1"/>
  <c r="F33" i="2"/>
  <c r="D5" i="3" s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I24" i="3" l="1"/>
  <c r="L20" i="2"/>
  <c r="I23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  <c r="F73" i="2"/>
  <c r="H73" i="2"/>
  <c r="E42" i="3" s="1"/>
  <c r="G73" i="2"/>
  <c r="D42" i="3" s="1"/>
</calcChain>
</file>

<file path=xl/sharedStrings.xml><?xml version="1.0" encoding="utf-8"?>
<sst xmlns="http://schemas.openxmlformats.org/spreadsheetml/2006/main" count="182" uniqueCount="174">
  <si>
    <t>Instructions</t>
  </si>
  <si>
    <t>Perform a management report, analyzing the financial health of Amazon Inc. based on its recent two annual reports (2022 &amp; 2021).</t>
  </si>
  <si>
    <t>Please refer to the below website in order to download the company financial statements:</t>
  </si>
  <si>
    <t>https://ir.aboutamazon.com/annual-reports-proxies-and-shareholder-letters/default.aspx</t>
  </si>
  <si>
    <t>Please input the three financial statements in the format from previous task, attached here in the second tab</t>
  </si>
  <si>
    <t>Perform the calculations on tab three similar to previous task.</t>
  </si>
  <si>
    <t>You are required write up a 1-2 page report commenting on the financial health of Amazon Inc. based on the ratios you have calculated, addressing the five key topics mentioned in the ratios tab.</t>
  </si>
  <si>
    <t>You are free to use any additional publicly available information/ news articles whilst mentioning the sources at the end page</t>
  </si>
  <si>
    <t>However make sure you have covered the five key topics in the ratio analysis</t>
  </si>
  <si>
    <t>Formats:</t>
  </si>
  <si>
    <t>The report should be submitted as a word document</t>
  </si>
  <si>
    <t>The supporting calculations should be submitted in excel document as same as the previous task.</t>
  </si>
  <si>
    <t>Company name</t>
  </si>
  <si>
    <t>(In millions, except number of shares which are reflected in thousands and per share amounts)</t>
  </si>
  <si>
    <t>CONSOLIDATED STATEMENTS OF OPERATIONS</t>
  </si>
  <si>
    <t xml:space="preserve">Years ended </t>
  </si>
  <si>
    <t>Net product sales</t>
  </si>
  <si>
    <t>Net service sales</t>
  </si>
  <si>
    <t>Total net sales</t>
  </si>
  <si>
    <t>operating expenses:</t>
  </si>
  <si>
    <t>Cost of sales</t>
  </si>
  <si>
    <t>fulfillment</t>
  </si>
  <si>
    <t>Technology and content</t>
  </si>
  <si>
    <t>Sales and marketing</t>
  </si>
  <si>
    <t>Gneral and administrative</t>
  </si>
  <si>
    <t xml:space="preserve">Other operating expense(income),net </t>
  </si>
  <si>
    <t>Total operating expenses</t>
  </si>
  <si>
    <t>Operating income</t>
  </si>
  <si>
    <t xml:space="preserve">Interest income </t>
  </si>
  <si>
    <t>Interest expense</t>
  </si>
  <si>
    <t>Other income(expense),net</t>
  </si>
  <si>
    <t>Total non-operating income(expense)</t>
  </si>
  <si>
    <t>Income(loss)before income taxes</t>
  </si>
  <si>
    <t>Benefit(provision) for income taxes</t>
  </si>
  <si>
    <t>Equity-method investment activity, nedt of tax</t>
  </si>
  <si>
    <t>Net income(loss)</t>
  </si>
  <si>
    <t>Basic earnings per share</t>
  </si>
  <si>
    <t>Diluted earnings per share</t>
  </si>
  <si>
    <t>Weighted-average shares used in computation of earnings per share:</t>
  </si>
  <si>
    <t>CONSOLIDATED BALANCE SHEETS</t>
  </si>
  <si>
    <t xml:space="preserve">As at </t>
  </si>
  <si>
    <t>liquidity</t>
  </si>
  <si>
    <t>Cash and cash equivilants</t>
  </si>
  <si>
    <t>Marketable securities</t>
  </si>
  <si>
    <t>Inventories</t>
  </si>
  <si>
    <t>Accounts receivable, net and other total current assets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</si>
  <si>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</si>
  <si>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</si>
  <si>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</si>
  <si>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</si>
  <si>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</si>
  <si>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</si>
  <si>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LIABILITIES AND STOCKHOLDERS’ EQUITY</t>
  </si>
  <si>
    <t>profitability</t>
  </si>
  <si>
    <t>Accounts payable</t>
  </si>
  <si>
    <t>Accrued expenses and other Unearned revenue</t>
  </si>
  <si>
    <t>Total current liabilities</t>
  </si>
  <si>
    <t>Long-term lease liabilities</t>
  </si>
  <si>
    <t>Long-term debt</t>
  </si>
  <si>
    <t>Other long-term liabilities</t>
  </si>
  <si>
    <t xml:space="preserve">Total liabilities </t>
  </si>
  <si>
    <t>Commitments and contingencies (Note 7) Stockholders’ equity: Preferred stock ($0.01 par value; 500 shares authorized; no shares issued or outstanding) — — Common stock ($0.01 par value; 100,000 shares authorized; 10,644 and 10,757 shares issued; 10,175 and 10,242 shares outstanding)</t>
  </si>
  <si>
    <t>solvency / debt</t>
  </si>
  <si>
    <t>Treasury stock, at cost</t>
  </si>
  <si>
    <t>Additional paid-in capital</t>
  </si>
  <si>
    <t>Accumulated other comprehensive income (loss)</t>
  </si>
  <si>
    <t>Retained earnings</t>
  </si>
  <si>
    <t>Total stockholders’ equity</t>
  </si>
  <si>
    <t>Total liabilities and stockholders’ equity</t>
  </si>
  <si>
    <t>asset utilization</t>
  </si>
  <si>
    <t>CONSOLIDATED STATEMENTS OF CASH FLOWS</t>
  </si>
  <si>
    <t>investor</t>
  </si>
  <si>
    <t>CASH, CASH EQUIVALENTS, AND RESTRICTED CASH, BEGINNING OF PERIOD</t>
  </si>
  <si>
    <t>OPERATING ACTIVITIES:</t>
  </si>
  <si>
    <t>Net income (loss)</t>
  </si>
  <si>
    <t>Adjustments to reconcile net income (loss) to net cash from operating activities:</t>
  </si>
  <si>
    <t>Depreciation and amortization of property and equipment and capitalized content costs, operating lease assets, and other</t>
  </si>
  <si>
    <t>Stock-based compensation</t>
  </si>
  <si>
    <t>Other expense (income), net</t>
  </si>
  <si>
    <t>Deferred income taxes</t>
  </si>
  <si>
    <t>(310</t>
  </si>
  <si>
    <t>Changes in operating assets and liabilities:</t>
  </si>
  <si>
    <t>Accounts receivable, net and other</t>
  </si>
  <si>
    <t>Accrued expenses and other</t>
  </si>
  <si>
    <t>Unearned revenue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</si>
  <si>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</si>
  <si>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</si>
  <si>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</si>
  <si>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</si>
  <si>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</si>
  <si>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</si>
  <si>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</si>
  <si>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</si>
  <si>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FINANCING ACTIVITIES:</t>
  </si>
  <si>
    <t>Common stock repurchased</t>
  </si>
  <si>
    <t>-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</si>
  <si>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</si>
  <si>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</si>
  <si>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</si>
  <si>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</si>
  <si>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</si>
  <si>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</si>
  <si>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</si>
  <si>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9718)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</si>
  <si>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</si>
  <si>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</si>
  <si>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</si>
  <si>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Company Name</t>
  </si>
  <si>
    <t>Feedback</t>
  </si>
  <si>
    <t>Years ended ,</t>
  </si>
  <si>
    <t>Liquidity</t>
  </si>
  <si>
    <t>NET SALES</t>
  </si>
  <si>
    <t>Current ratio</t>
  </si>
  <si>
    <t>PRODUCTS</t>
  </si>
  <si>
    <t>Quick Ratio</t>
  </si>
  <si>
    <t>SERVICES</t>
  </si>
  <si>
    <t>Cash Ratio</t>
  </si>
  <si>
    <t>Defensive Interval</t>
  </si>
  <si>
    <t>GROSS MARGIN</t>
  </si>
  <si>
    <t>Inventory Days</t>
  </si>
  <si>
    <t>Payable Days</t>
  </si>
  <si>
    <t>Receivable Days</t>
  </si>
  <si>
    <t>Net trading cycle</t>
  </si>
  <si>
    <t>TOTAL OPERATING COSTS</t>
  </si>
  <si>
    <t>Working Capital as a % of Sales</t>
  </si>
  <si>
    <t>Working Capital</t>
  </si>
  <si>
    <t>OPERATING INCOME</t>
  </si>
  <si>
    <t>Profitability</t>
  </si>
  <si>
    <t>NET PROFIT MARGIN</t>
  </si>
  <si>
    <t>Gross margin</t>
  </si>
  <si>
    <t>EBITDA margin</t>
  </si>
  <si>
    <t>CURRENT ASSETS</t>
  </si>
  <si>
    <t>EBITDA</t>
  </si>
  <si>
    <t>EBIT margin</t>
  </si>
  <si>
    <t>TOTAL ASSETS</t>
  </si>
  <si>
    <t>EBIT</t>
  </si>
  <si>
    <t>CURRENT LIABILITIES</t>
  </si>
  <si>
    <t>Net margin</t>
  </si>
  <si>
    <t>TOTAL LIABILITIES</t>
  </si>
  <si>
    <t>Solvency/ debt management</t>
  </si>
  <si>
    <t>SHARE HOLDER EQUITY</t>
  </si>
  <si>
    <t>Debt to equity (D/E)</t>
  </si>
  <si>
    <t>Debt to total assets</t>
  </si>
  <si>
    <t>Long-term debt to capital</t>
  </si>
  <si>
    <t>COGS</t>
  </si>
  <si>
    <t>Times interest earned</t>
  </si>
  <si>
    <t>GROSS PROFIT</t>
  </si>
  <si>
    <t>Debt coverage</t>
  </si>
  <si>
    <t>TOTAL OPERATING EXPENSE</t>
  </si>
  <si>
    <t>Free cash flow (FCFE) per share</t>
  </si>
  <si>
    <t>FCFE</t>
  </si>
  <si>
    <t>NET PROFIT</t>
  </si>
  <si>
    <t>Asset utilization</t>
  </si>
  <si>
    <t>Total asset turnover</t>
  </si>
  <si>
    <t>Fixed asset turnover</t>
  </si>
  <si>
    <t>INCOME TAX RATE</t>
  </si>
  <si>
    <t>Inventory turnover</t>
  </si>
  <si>
    <t>CAPEX% OF SALES</t>
  </si>
  <si>
    <t>Return on assets (ROA)</t>
  </si>
  <si>
    <t>CAPEX% OF FIXED ASSETS</t>
  </si>
  <si>
    <t>Investor/market ratios</t>
  </si>
  <si>
    <t>Market price per share:</t>
  </si>
  <si>
    <t>https://www.bloomberg.com/quote/AAPL:US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</si>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</sst>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_-* #,##0.000_-;\-* #,##0.000_-;_-* &quot;-&quot;??_-;_-@_-"/>
    <numFmt numFmtId="169" formatCode="_(* #,##0.000_);_(* \(#,##0.000\);_(* &quot;-&quot;??_);_(@_)"/>
    <numFmt numFmtId="170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165" fontId="1" fillId="0" borderId="1" xfId="1" applyNumberFormat="1" applyFont="1" applyBorder="1"/>
    <xf numFmtId="165" fontId="1" fillId="0" borderId="2" xfId="1" applyNumberFormat="1" applyFont="1" applyBorder="1"/>
    <xf numFmtId="165" fontId="0" fillId="0" borderId="0" xfId="0" applyNumberFormat="1"/>
    <xf numFmtId="43" fontId="0" fillId="0" borderId="0" xfId="0" applyNumberFormat="1"/>
    <xf numFmtId="167" fontId="0" fillId="0" borderId="0" xfId="0" applyNumberFormat="1"/>
    <xf numFmtId="164" fontId="0" fillId="0" borderId="0" xfId="0" applyNumberFormat="1"/>
    <xf numFmtId="0" fontId="2" fillId="4" borderId="0" xfId="0" applyFont="1" applyFill="1"/>
    <xf numFmtId="165" fontId="1" fillId="0" borderId="0" xfId="1" applyNumberFormat="1" applyFont="1"/>
    <xf numFmtId="0" fontId="0" fillId="0" borderId="1" xfId="0" applyBorder="1"/>
    <xf numFmtId="0" fontId="0" fillId="0" borderId="2" xfId="0" applyBorder="1"/>
    <xf numFmtId="0" fontId="0" fillId="4" borderId="0" xfId="0" applyFill="1"/>
    <xf numFmtId="3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5" fillId="0" borderId="0" xfId="2" applyAlignment="1">
      <alignment horizontal="left" indent="1"/>
    </xf>
    <xf numFmtId="10" fontId="0" fillId="0" borderId="0" xfId="0" applyNumberFormat="1"/>
    <xf numFmtId="170" fontId="0" fillId="0" borderId="0" xfId="0" applyNumberFormat="1"/>
    <xf numFmtId="2" fontId="0" fillId="0" borderId="0" xfId="0" applyNumberFormat="1"/>
    <xf numFmtId="9" fontId="0" fillId="0" borderId="0" xfId="3" applyFont="1"/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loomberg.com/quote/AAPL: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5" sqref="A5"/>
    </sheetView>
  </sheetViews>
  <sheetFormatPr defaultRowHeight="15" x14ac:dyDescent="0.25"/>
  <cols>
    <col min="1" max="1" width="157.85546875" style="2" customWidth="1"/>
  </cols>
  <sheetData>
    <row r="1" spans="1:1" ht="23.25" x14ac:dyDescent="0.35">
      <c r="A1" s="3" t="s">
        <v>0</v>
      </c>
    </row>
    <row r="3" spans="1:1" x14ac:dyDescent="0.25">
      <c r="A3" s="2" t="s">
        <v>1</v>
      </c>
    </row>
    <row r="4" spans="1:1" x14ac:dyDescent="0.25">
      <c r="A4" s="5" t="s">
        <v>2</v>
      </c>
    </row>
    <row r="5" spans="1:1" x14ac:dyDescent="0.25">
      <c r="A5" s="6" t="s">
        <v>3</v>
      </c>
    </row>
    <row r="7" spans="1:1" x14ac:dyDescent="0.25">
      <c r="A7" s="2" t="s">
        <v>4</v>
      </c>
    </row>
    <row r="8" spans="1:1" x14ac:dyDescent="0.25">
      <c r="A8" s="2" t="s">
        <v>5</v>
      </c>
    </row>
    <row r="9" spans="1:1" ht="30" x14ac:dyDescent="0.25">
      <c r="A9" s="2" t="s">
        <v>6</v>
      </c>
    </row>
    <row r="10" spans="1:1" x14ac:dyDescent="0.25">
      <c r="A10" s="2" t="s">
        <v>7</v>
      </c>
    </row>
    <row r="11" spans="1:1" x14ac:dyDescent="0.25">
      <c r="A11" s="2" t="s">
        <v>8</v>
      </c>
    </row>
    <row r="13" spans="1:1" x14ac:dyDescent="0.25">
      <c r="A13" s="4" t="s">
        <v>9</v>
      </c>
    </row>
    <row r="14" spans="1:1" x14ac:dyDescent="0.25">
      <c r="A14" s="2" t="s">
        <v>10</v>
      </c>
    </row>
    <row r="15" spans="1:1" x14ac:dyDescent="0.25">
      <c r="A15" s="2" t="s">
        <v>11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7"/>
  <sheetViews>
    <sheetView topLeftCell="A68" workbookViewId="0">
      <selection activeCell="F79" sqref="F79:H79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  <col min="6" max="6" width="10.7109375" bestFit="1" customWidth="1"/>
    <col min="7" max="8" width="12" bestFit="1" customWidth="1"/>
  </cols>
  <sheetData>
    <row r="1" spans="1:13" ht="60" customHeight="1" x14ac:dyDescent="0.25">
      <c r="A1" s="7" t="s">
        <v>12</v>
      </c>
      <c r="B1" s="8" t="s">
        <v>13</v>
      </c>
      <c r="C1" s="8"/>
      <c r="D1" s="8"/>
      <c r="E1" s="8"/>
      <c r="F1" s="8"/>
      <c r="G1" s="8"/>
      <c r="H1" s="8"/>
      <c r="I1" s="8"/>
      <c r="J1" s="8"/>
    </row>
    <row r="2" spans="1:13" x14ac:dyDescent="0.25">
      <c r="A2" s="43" t="s">
        <v>14</v>
      </c>
      <c r="B2" s="43"/>
      <c r="C2" s="43"/>
      <c r="D2" s="43"/>
    </row>
    <row r="3" spans="1:13" x14ac:dyDescent="0.25">
      <c r="B3" s="42" t="s">
        <v>15</v>
      </c>
      <c r="C3" s="42"/>
      <c r="D3" s="42"/>
    </row>
    <row r="4" spans="1:13" x14ac:dyDescent="0.25">
      <c r="B4" s="9">
        <v>2020</v>
      </c>
      <c r="C4" s="9">
        <v>2021</v>
      </c>
      <c r="D4" s="9">
        <v>2022</v>
      </c>
      <c r="K4">
        <f>(C7-B7)/B7</f>
        <v>0.21695366571345684</v>
      </c>
      <c r="L4">
        <f t="shared" ref="L4:M4" si="0">(D7-C7)/C7</f>
        <v>9.3995172639850841E-2</v>
      </c>
      <c r="M4">
        <f t="shared" si="0"/>
        <v>-0.70279756334353471</v>
      </c>
    </row>
    <row r="5" spans="1:13" x14ac:dyDescent="0.25">
      <c r="A5" t="s">
        <v>16</v>
      </c>
      <c r="B5">
        <v>215915</v>
      </c>
      <c r="C5">
        <v>241787</v>
      </c>
      <c r="D5">
        <v>242901</v>
      </c>
      <c r="K5">
        <f>(C5-B5)/B5</f>
        <v>0.11982493110714865</v>
      </c>
      <c r="L5">
        <f t="shared" ref="L5:M5" si="1">(D5-C5)/C5</f>
        <v>4.6073610243726913E-3</v>
      </c>
      <c r="M5">
        <f t="shared" si="1"/>
        <v>-1</v>
      </c>
    </row>
    <row r="6" spans="1:13" x14ac:dyDescent="0.25">
      <c r="A6" s="1" t="s">
        <v>17</v>
      </c>
      <c r="B6" s="1">
        <v>170149</v>
      </c>
      <c r="C6" s="1">
        <v>228035</v>
      </c>
      <c r="D6" s="1">
        <v>271082</v>
      </c>
      <c r="K6">
        <f>(C6-B6)/B6</f>
        <v>0.34020770030972852</v>
      </c>
      <c r="L6">
        <f t="shared" ref="L6" si="2">(D6-C6)/C6</f>
        <v>0.18877365316727696</v>
      </c>
      <c r="M6">
        <f t="shared" ref="M6" si="3">(E6-D6)/D6</f>
        <v>-1</v>
      </c>
    </row>
    <row r="7" spans="1:13" x14ac:dyDescent="0.25">
      <c r="A7" s="16" t="s">
        <v>18</v>
      </c>
      <c r="B7" s="15">
        <v>386064</v>
      </c>
      <c r="C7" s="15">
        <v>469822</v>
      </c>
      <c r="D7" s="15">
        <v>513983</v>
      </c>
      <c r="E7" s="24">
        <f>B7-B9</f>
        <v>152757</v>
      </c>
      <c r="F7" s="24">
        <f t="shared" ref="F7:G7" si="4">C7-C9</f>
        <v>197478</v>
      </c>
      <c r="G7" s="24">
        <f t="shared" si="4"/>
        <v>225152</v>
      </c>
    </row>
    <row r="8" spans="1:13" x14ac:dyDescent="0.25">
      <c r="A8" s="30" t="s">
        <v>19</v>
      </c>
      <c r="B8" s="22"/>
      <c r="C8" s="22"/>
      <c r="D8" s="22"/>
      <c r="K8">
        <f>(F7-E7)/E7</f>
        <v>0.29275908796323574</v>
      </c>
      <c r="L8">
        <f t="shared" ref="L8:M8" si="5">(G7-F7)/F7</f>
        <v>0.14013712919920193</v>
      </c>
      <c r="M8">
        <f t="shared" si="5"/>
        <v>-1</v>
      </c>
    </row>
    <row r="9" spans="1:13" x14ac:dyDescent="0.25">
      <c r="A9" t="s">
        <v>20</v>
      </c>
      <c r="B9" s="22">
        <v>233307</v>
      </c>
      <c r="C9" s="22">
        <v>272344</v>
      </c>
      <c r="D9" s="29">
        <v>288831</v>
      </c>
    </row>
    <row r="10" spans="1:13" x14ac:dyDescent="0.25">
      <c r="A10" s="1" t="s">
        <v>21</v>
      </c>
      <c r="B10" s="29">
        <v>58517</v>
      </c>
      <c r="C10" s="22">
        <v>75111</v>
      </c>
      <c r="D10" s="29">
        <v>84299</v>
      </c>
    </row>
    <row r="11" spans="1:13" x14ac:dyDescent="0.25">
      <c r="A11" s="1" t="s">
        <v>22</v>
      </c>
      <c r="B11" s="29">
        <v>42740</v>
      </c>
      <c r="C11" s="29">
        <v>56052</v>
      </c>
      <c r="D11" s="29">
        <v>73213</v>
      </c>
    </row>
    <row r="12" spans="1:13" x14ac:dyDescent="0.25">
      <c r="A12" s="30" t="s">
        <v>23</v>
      </c>
      <c r="B12" s="29">
        <v>220008</v>
      </c>
      <c r="C12" s="29">
        <v>32551</v>
      </c>
      <c r="D12" s="22">
        <v>42238</v>
      </c>
      <c r="K12">
        <f>(C15-B15)/B15</f>
        <v>0.22518139137857449</v>
      </c>
      <c r="L12">
        <f t="shared" ref="L12:M12" si="6">(D15-C15)/C15</f>
        <v>0.12763882115237232</v>
      </c>
      <c r="M12">
        <f t="shared" si="6"/>
        <v>-1</v>
      </c>
    </row>
    <row r="13" spans="1:13" x14ac:dyDescent="0.25">
      <c r="A13" s="30" t="s">
        <v>24</v>
      </c>
      <c r="B13" s="22">
        <v>6668</v>
      </c>
      <c r="C13" s="29">
        <v>8823</v>
      </c>
      <c r="D13" s="22">
        <v>11891</v>
      </c>
      <c r="K13">
        <f>(C16-B16)/B16</f>
        <v>8.6941325527545979E-2</v>
      </c>
      <c r="L13">
        <f>(D16-C16)/C16</f>
        <v>-0.50769725471281002</v>
      </c>
    </row>
    <row r="14" spans="1:13" x14ac:dyDescent="0.25">
      <c r="A14" t="s">
        <v>25</v>
      </c>
      <c r="B14" s="29">
        <v>-75</v>
      </c>
      <c r="C14" s="22">
        <v>62</v>
      </c>
      <c r="D14" s="29">
        <v>1263</v>
      </c>
      <c r="K14">
        <f>(C24-B24)/B24</f>
        <v>0.56410857437532225</v>
      </c>
      <c r="L14">
        <f t="shared" ref="L14:M14" si="7">(D24-C24)/C24</f>
        <v>-1.0815849418534949</v>
      </c>
      <c r="M14">
        <f t="shared" si="7"/>
        <v>-1</v>
      </c>
    </row>
    <row r="15" spans="1:13" x14ac:dyDescent="0.25">
      <c r="A15" s="1" t="s">
        <v>26</v>
      </c>
      <c r="B15" s="29">
        <v>363165</v>
      </c>
      <c r="C15" s="29">
        <v>444943</v>
      </c>
      <c r="D15" s="29">
        <v>501735</v>
      </c>
    </row>
    <row r="16" spans="1:13" x14ac:dyDescent="0.25">
      <c r="A16" s="16" t="s">
        <v>27</v>
      </c>
      <c r="B16" s="15">
        <v>22889</v>
      </c>
      <c r="C16" s="15">
        <v>24879</v>
      </c>
      <c r="D16" s="15">
        <v>12248</v>
      </c>
      <c r="L16">
        <f>(D38-C38)/C38</f>
        <v>-9.1527416759499935E-2</v>
      </c>
      <c r="M16">
        <f t="shared" ref="M16" si="8">(E38-D38)/D38</f>
        <v>-1</v>
      </c>
    </row>
    <row r="17" spans="1:14" x14ac:dyDescent="0.25">
      <c r="A17" s="30" t="s">
        <v>28</v>
      </c>
      <c r="B17" s="22">
        <v>555</v>
      </c>
      <c r="C17" s="22">
        <v>448</v>
      </c>
      <c r="D17" s="22">
        <v>989</v>
      </c>
      <c r="L17">
        <f>(D44-C44)/C44</f>
        <v>0.10016906472254125</v>
      </c>
      <c r="M17">
        <f>(E44-D44)/D44</f>
        <v>-1</v>
      </c>
    </row>
    <row r="18" spans="1:14" s="11" customFormat="1" x14ac:dyDescent="0.25">
      <c r="A18" s="30" t="s">
        <v>29</v>
      </c>
      <c r="B18" s="22">
        <v>-1647</v>
      </c>
      <c r="C18" s="22">
        <v>-1809</v>
      </c>
      <c r="D18" s="22">
        <v>-2367</v>
      </c>
      <c r="L18" s="11">
        <f>(D49-C49)/C49</f>
        <v>9.2270816639253225E-2</v>
      </c>
      <c r="M18" s="11">
        <f>(E49-D49)/D49</f>
        <v>-1</v>
      </c>
    </row>
    <row r="19" spans="1:14" x14ac:dyDescent="0.25">
      <c r="A19" t="s">
        <v>30</v>
      </c>
      <c r="B19" s="29">
        <v>2371</v>
      </c>
      <c r="C19" s="29">
        <v>14633</v>
      </c>
      <c r="D19" s="29">
        <v>-16806</v>
      </c>
      <c r="L19">
        <f>(D53-C53)/C53</f>
        <v>0.12159941056449784</v>
      </c>
      <c r="M19">
        <f>(E53-D53)/D53</f>
        <v>-1</v>
      </c>
    </row>
    <row r="20" spans="1:14" x14ac:dyDescent="0.25">
      <c r="A20" s="30" t="s">
        <v>31</v>
      </c>
      <c r="B20" s="22">
        <v>1279</v>
      </c>
      <c r="C20" s="22">
        <v>13272</v>
      </c>
      <c r="D20" s="22">
        <v>-18184</v>
      </c>
      <c r="L20">
        <f>$L$19</f>
        <v>0.12159941056449784</v>
      </c>
      <c r="M20">
        <f>(E59-D59)/D59</f>
        <v>-1</v>
      </c>
    </row>
    <row r="21" spans="1:14" ht="15.75" thickBot="1" x14ac:dyDescent="0.3">
      <c r="A21" s="31" t="s">
        <v>32</v>
      </c>
      <c r="B21" s="29">
        <v>24178</v>
      </c>
      <c r="C21" s="29">
        <v>38151</v>
      </c>
      <c r="D21" s="29">
        <v>-5936</v>
      </c>
    </row>
    <row r="22" spans="1:14" ht="16.5" thickTop="1" thickBot="1" x14ac:dyDescent="0.3">
      <c r="A22" t="s">
        <v>33</v>
      </c>
      <c r="B22" s="23">
        <v>-2863</v>
      </c>
      <c r="C22" s="23">
        <v>-4791</v>
      </c>
      <c r="D22" s="23">
        <v>3217</v>
      </c>
      <c r="L22">
        <f>(B9/B7)</f>
        <v>0.60432208131294296</v>
      </c>
      <c r="M22">
        <f t="shared" ref="M22:N22" si="9">(C9/C7)</f>
        <v>0.57967485558360399</v>
      </c>
      <c r="N22">
        <f t="shared" si="9"/>
        <v>0.56194660134673713</v>
      </c>
    </row>
    <row r="23" spans="1:14" ht="15.75" thickTop="1" x14ac:dyDescent="0.25">
      <c r="A23" s="1" t="s">
        <v>34</v>
      </c>
      <c r="B23" s="29">
        <v>16</v>
      </c>
      <c r="C23" s="29">
        <v>4</v>
      </c>
      <c r="D23" s="29">
        <v>-3</v>
      </c>
      <c r="L23">
        <f>E7/B7</f>
        <v>0.3956779186870571</v>
      </c>
      <c r="M23">
        <f t="shared" ref="M23:N23" si="10">F7/C7</f>
        <v>0.42032514441639601</v>
      </c>
      <c r="N23">
        <f t="shared" si="10"/>
        <v>0.43805339865326287</v>
      </c>
    </row>
    <row r="24" spans="1:14" x14ac:dyDescent="0.25">
      <c r="A24" s="16" t="s">
        <v>35</v>
      </c>
      <c r="B24" s="28">
        <v>21331</v>
      </c>
      <c r="C24" s="28">
        <v>33364</v>
      </c>
      <c r="D24" s="28">
        <v>-2722</v>
      </c>
      <c r="L24">
        <f>B15/B7</f>
        <v>0.94068600024866345</v>
      </c>
      <c r="M24">
        <f t="shared" ref="M24:N24" si="11">C15/C7</f>
        <v>0.94704590249073051</v>
      </c>
      <c r="N24">
        <f t="shared" si="11"/>
        <v>0.97617041808775773</v>
      </c>
    </row>
    <row r="25" spans="1:14" x14ac:dyDescent="0.25">
      <c r="A25" t="s">
        <v>36</v>
      </c>
      <c r="B25" s="32">
        <v>2.13</v>
      </c>
      <c r="C25" s="32">
        <v>3.3</v>
      </c>
      <c r="D25" s="32">
        <v>-0.27</v>
      </c>
      <c r="L25">
        <f>B16/B7</f>
        <v>5.928809731029052E-2</v>
      </c>
      <c r="M25">
        <f t="shared" ref="M25:N25" si="12">C16/C7</f>
        <v>5.2954097509269465E-2</v>
      </c>
      <c r="N25">
        <f t="shared" si="12"/>
        <v>2.3829581912242232E-2</v>
      </c>
    </row>
    <row r="26" spans="1:14" x14ac:dyDescent="0.25">
      <c r="A26" s="1" t="s">
        <v>37</v>
      </c>
      <c r="B26">
        <v>2.09</v>
      </c>
      <c r="C26">
        <v>2.09</v>
      </c>
      <c r="D26">
        <v>2.09</v>
      </c>
      <c r="L26" s="25">
        <f>B24/B7</f>
        <v>5.5252496995316841E-2</v>
      </c>
      <c r="M26" s="25">
        <f t="shared" ref="M26:N26" si="13">C24/C7</f>
        <v>7.1014128755145567E-2</v>
      </c>
      <c r="N26" s="25">
        <f t="shared" si="13"/>
        <v>-5.2958950004183018E-3</v>
      </c>
    </row>
    <row r="27" spans="1:14" x14ac:dyDescent="0.25">
      <c r="A27" s="1" t="s">
        <v>38</v>
      </c>
      <c r="B27" s="33"/>
      <c r="C27" s="33"/>
      <c r="D27" s="33"/>
    </row>
    <row r="28" spans="1:14" x14ac:dyDescent="0.25">
      <c r="A28" s="1" t="s">
        <v>36</v>
      </c>
      <c r="B28" s="33">
        <v>10005</v>
      </c>
      <c r="C28" s="33">
        <v>10117</v>
      </c>
      <c r="D28" s="33">
        <v>10189</v>
      </c>
      <c r="L28">
        <f>B21/B7</f>
        <v>6.2626921961125612E-2</v>
      </c>
      <c r="M28">
        <f t="shared" ref="M28:N28" si="14">C21/C7</f>
        <v>8.1203093937704071E-2</v>
      </c>
      <c r="N28">
        <f t="shared" si="14"/>
        <v>-1.1549020103777752E-2</v>
      </c>
    </row>
    <row r="29" spans="1:14" x14ac:dyDescent="0.25">
      <c r="A29" s="1" t="s">
        <v>37</v>
      </c>
      <c r="B29">
        <v>10198</v>
      </c>
      <c r="C29">
        <v>10296</v>
      </c>
      <c r="D29">
        <v>10189</v>
      </c>
      <c r="L29" s="35"/>
      <c r="M29">
        <f>M32/B7</f>
        <v>-0.14348916241866633</v>
      </c>
      <c r="N29">
        <f>N32/C7</f>
        <v>-0.1241342465870053</v>
      </c>
    </row>
    <row r="30" spans="1:14" x14ac:dyDescent="0.25">
      <c r="A30" s="1"/>
      <c r="M30">
        <f>M32/M33</f>
        <v>-0.60644808144944984</v>
      </c>
      <c r="N30">
        <f>N32/N33</f>
        <v>-0.61951349054599536</v>
      </c>
    </row>
    <row r="31" spans="1:14" x14ac:dyDescent="0.25">
      <c r="A31" s="43" t="s">
        <v>39</v>
      </c>
      <c r="B31" s="43"/>
      <c r="C31" s="43"/>
      <c r="D31" s="43"/>
    </row>
    <row r="32" spans="1:14" x14ac:dyDescent="0.25">
      <c r="B32" s="42" t="s">
        <v>40</v>
      </c>
      <c r="C32" s="42"/>
      <c r="D32" s="42"/>
      <c r="F32" t="s">
        <v>41</v>
      </c>
      <c r="L32" s="24"/>
      <c r="M32" s="24">
        <f t="shared" ref="M32:N32" si="15">C90+C91</f>
        <v>-55396</v>
      </c>
      <c r="N32" s="24">
        <f t="shared" si="15"/>
        <v>-58321</v>
      </c>
    </row>
    <row r="33" spans="1:14" x14ac:dyDescent="0.25">
      <c r="B33" s="9"/>
      <c r="C33" s="9">
        <v>2021</v>
      </c>
      <c r="D33" s="9">
        <v>2022</v>
      </c>
      <c r="F33">
        <f>C38/C49</f>
        <v>1.1357597739445826</v>
      </c>
      <c r="G33">
        <f>D38/D49</f>
        <v>0.9446435811136924</v>
      </c>
      <c r="L33" s="24"/>
      <c r="M33" s="24">
        <f t="shared" ref="M33:N33" si="16">C50+51+C52</f>
        <v>91345</v>
      </c>
      <c r="N33" s="24">
        <f t="shared" si="16"/>
        <v>94140</v>
      </c>
    </row>
    <row r="34" spans="1:14" x14ac:dyDescent="0.25">
      <c r="A34" t="s">
        <v>42</v>
      </c>
      <c r="C34">
        <v>36220</v>
      </c>
      <c r="D34">
        <v>53888</v>
      </c>
      <c r="F34" s="9"/>
    </row>
    <row r="35" spans="1:14" x14ac:dyDescent="0.25">
      <c r="A35" t="s">
        <v>43</v>
      </c>
      <c r="C35">
        <v>59829</v>
      </c>
      <c r="D35">
        <v>16138</v>
      </c>
      <c r="F35" s="27">
        <f>(C34+C35+C37)/C49</f>
        <v>0.90633039517523517</v>
      </c>
      <c r="G35" s="27">
        <f>(D34+D35+D37)/D49</f>
        <v>0.72323721145740161</v>
      </c>
    </row>
    <row r="36" spans="1:14" x14ac:dyDescent="0.25">
      <c r="A36" s="1" t="s">
        <v>44</v>
      </c>
      <c r="B36" s="10"/>
      <c r="C36" s="10">
        <v>32640</v>
      </c>
      <c r="D36" s="10">
        <v>34405</v>
      </c>
    </row>
    <row r="37" spans="1:14" x14ac:dyDescent="0.25">
      <c r="A37" s="1" t="s">
        <v>45</v>
      </c>
      <c r="B37" s="10"/>
      <c r="C37" s="10">
        <v>32891</v>
      </c>
      <c r="D37" s="10">
        <v>42360</v>
      </c>
      <c r="F37" s="25">
        <f>C34/C49</f>
        <v>0.25459350793583851</v>
      </c>
      <c r="G37" s="25">
        <f>D34/D49</f>
        <v>0.34678524772673158</v>
      </c>
    </row>
    <row r="38" spans="1:14" x14ac:dyDescent="0.25">
      <c r="A38" s="16" t="s">
        <v>46</v>
      </c>
      <c r="B38" s="10"/>
      <c r="C38" s="15">
        <v>161580</v>
      </c>
      <c r="D38" s="15">
        <v>146791</v>
      </c>
      <c r="F38">
        <f>C38/I38</f>
        <v>143.66690214611094</v>
      </c>
      <c r="G38">
        <f>D38/J38</f>
        <v>116.52258304444841</v>
      </c>
      <c r="H38" s="25">
        <f>(B15-B78)/365</f>
        <v>925.98630136986299</v>
      </c>
      <c r="I38" s="25">
        <f t="shared" ref="I38:J38" si="17">(C15-C78)/365</f>
        <v>1124.6849315068494</v>
      </c>
      <c r="J38" s="25">
        <f t="shared" si="17"/>
        <v>1259.7643835616439</v>
      </c>
    </row>
    <row r="39" spans="1:14" x14ac:dyDescent="0.25">
      <c r="B39" s="10"/>
      <c r="C39" s="10"/>
      <c r="D39" s="10"/>
      <c r="F39">
        <f>C36/C9*365</f>
        <v>43.744675851129458</v>
      </c>
      <c r="G39">
        <f>D36/D9*365</f>
        <v>43.4781065744328</v>
      </c>
    </row>
    <row r="40" spans="1:14" x14ac:dyDescent="0.25">
      <c r="A40" t="s">
        <v>47</v>
      </c>
      <c r="B40" s="10"/>
      <c r="C40" s="10">
        <v>160281</v>
      </c>
      <c r="D40" s="10">
        <v>186715</v>
      </c>
      <c r="F40">
        <f>(C47*365)/C9</f>
        <v>69.389724025497159</v>
      </c>
      <c r="G40">
        <f>(D47*365)/D9</f>
        <v>79.065578140850533</v>
      </c>
    </row>
    <row r="41" spans="1:14" x14ac:dyDescent="0.25">
      <c r="A41" t="s">
        <v>48</v>
      </c>
      <c r="B41" s="10"/>
      <c r="C41" s="10">
        <v>56082</v>
      </c>
      <c r="D41" s="10">
        <v>66123</v>
      </c>
      <c r="F41">
        <f>(C37/C7)*365</f>
        <v>25.552688039299991</v>
      </c>
      <c r="G41">
        <f>(D37/D7)*365</f>
        <v>30.081539661817608</v>
      </c>
    </row>
    <row r="42" spans="1:14" x14ac:dyDescent="0.25">
      <c r="A42" t="s">
        <v>49</v>
      </c>
      <c r="B42" s="10"/>
      <c r="C42" s="10">
        <v>15271</v>
      </c>
      <c r="D42" s="22">
        <v>20288</v>
      </c>
      <c r="F42">
        <f>F39+F41-F40</f>
        <v>-9.2360135067707461E-2</v>
      </c>
      <c r="G42">
        <f>G39+G41-G40</f>
        <v>-5.5059319046001178</v>
      </c>
    </row>
    <row r="43" spans="1:14" x14ac:dyDescent="0.25">
      <c r="A43" t="s">
        <v>50</v>
      </c>
      <c r="B43" s="12"/>
      <c r="C43" s="22">
        <v>27325</v>
      </c>
      <c r="D43" s="10">
        <v>42758</v>
      </c>
      <c r="F43">
        <f>(C38-C49)/C7</f>
        <v>4.1109186032156859E-2</v>
      </c>
      <c r="G43">
        <f>(D38-D49)/D7</f>
        <v>-1.6735962084349094E-2</v>
      </c>
    </row>
    <row r="44" spans="1:14" x14ac:dyDescent="0.25">
      <c r="A44" s="9" t="s">
        <v>51</v>
      </c>
      <c r="B44" s="10"/>
      <c r="C44" s="15">
        <v>420549</v>
      </c>
      <c r="D44" s="15">
        <v>462675</v>
      </c>
      <c r="F44" s="24">
        <f>C38-C49</f>
        <v>19314</v>
      </c>
      <c r="G44" s="24">
        <f>D38-D49</f>
        <v>-8602</v>
      </c>
    </row>
    <row r="45" spans="1:14" x14ac:dyDescent="0.25">
      <c r="A45" s="9"/>
      <c r="B45" s="10"/>
      <c r="C45" s="15"/>
      <c r="D45" s="15"/>
    </row>
    <row r="46" spans="1:14" x14ac:dyDescent="0.25">
      <c r="A46" s="9" t="s">
        <v>52</v>
      </c>
      <c r="B46" s="10"/>
      <c r="C46" s="15">
        <v>78664</v>
      </c>
      <c r="D46" s="15">
        <v>79600</v>
      </c>
      <c r="F46" t="s">
        <v>53</v>
      </c>
    </row>
    <row r="47" spans="1:14" x14ac:dyDescent="0.25">
      <c r="A47" t="s">
        <v>54</v>
      </c>
      <c r="B47" s="10"/>
      <c r="C47" s="10">
        <v>51775</v>
      </c>
      <c r="D47" s="10">
        <v>62566</v>
      </c>
      <c r="F47">
        <f>E7/B7</f>
        <v>0.3956779186870571</v>
      </c>
      <c r="G47">
        <f t="shared" ref="G47:H47" si="18">F7/C7</f>
        <v>0.42032514441639601</v>
      </c>
      <c r="H47">
        <f t="shared" si="18"/>
        <v>0.43805339865326287</v>
      </c>
    </row>
    <row r="48" spans="1:14" x14ac:dyDescent="0.25">
      <c r="A48" t="s">
        <v>55</v>
      </c>
      <c r="B48" s="10"/>
      <c r="C48" s="10">
        <v>11827</v>
      </c>
      <c r="D48" s="12">
        <v>13227</v>
      </c>
      <c r="F48" s="27">
        <f>F49/B7</f>
        <v>-5.9342492436487218E-3</v>
      </c>
      <c r="G48" s="27">
        <f t="shared" ref="G48:H48" si="19">G49/C7</f>
        <v>-2.033536105163232E-2</v>
      </c>
      <c r="H48" s="27">
        <f t="shared" si="19"/>
        <v>-5.7731481391407886E-2</v>
      </c>
    </row>
    <row r="49" spans="1:8" ht="15.75" thickBot="1" x14ac:dyDescent="0.3">
      <c r="A49" s="9" t="s">
        <v>56</v>
      </c>
      <c r="B49" s="12"/>
      <c r="C49" s="12">
        <v>142266</v>
      </c>
      <c r="D49" s="14">
        <v>155393</v>
      </c>
      <c r="F49" s="24">
        <f>B16-B78</f>
        <v>-2291</v>
      </c>
      <c r="G49" s="24">
        <f t="shared" ref="G49:H49" si="20">C16-C78</f>
        <v>-9554</v>
      </c>
      <c r="H49" s="24">
        <f t="shared" si="20"/>
        <v>-29673</v>
      </c>
    </row>
    <row r="50" spans="1:8" ht="16.5" thickTop="1" thickBot="1" x14ac:dyDescent="0.3">
      <c r="A50" t="s">
        <v>57</v>
      </c>
      <c r="B50" s="14"/>
      <c r="C50" s="23">
        <v>67651</v>
      </c>
      <c r="D50" s="10">
        <v>72968</v>
      </c>
      <c r="F50">
        <f>(B16)/B7</f>
        <v>5.928809731029052E-2</v>
      </c>
      <c r="G50">
        <f t="shared" ref="G50:H50" si="21">(C16)/C7</f>
        <v>5.2954097509269465E-2</v>
      </c>
      <c r="H50">
        <f t="shared" si="21"/>
        <v>2.3829581912242232E-2</v>
      </c>
    </row>
    <row r="51" spans="1:8" ht="15.75" thickTop="1" x14ac:dyDescent="0.25">
      <c r="A51" t="s">
        <v>58</v>
      </c>
      <c r="B51" s="10"/>
      <c r="C51" s="10">
        <v>48744</v>
      </c>
      <c r="D51" s="10">
        <v>67150</v>
      </c>
      <c r="F51" s="24">
        <f>B16</f>
        <v>22889</v>
      </c>
      <c r="G51" s="24">
        <f t="shared" ref="G51:H51" si="22">C16</f>
        <v>24879</v>
      </c>
      <c r="H51" s="24">
        <f t="shared" si="22"/>
        <v>12248</v>
      </c>
    </row>
    <row r="52" spans="1:8" x14ac:dyDescent="0.25">
      <c r="A52" t="s">
        <v>59</v>
      </c>
      <c r="B52" s="10"/>
      <c r="C52" s="10">
        <v>23643</v>
      </c>
      <c r="D52" s="10">
        <v>21121</v>
      </c>
      <c r="F52" s="25">
        <f>B24/B7</f>
        <v>5.5252496995316841E-2</v>
      </c>
      <c r="G52" s="25">
        <f t="shared" ref="G52:H52" si="23">C24/C7</f>
        <v>7.1014128755145567E-2</v>
      </c>
      <c r="H52" s="25">
        <f t="shared" si="23"/>
        <v>-5.2958950004183018E-3</v>
      </c>
    </row>
    <row r="53" spans="1:8" x14ac:dyDescent="0.25">
      <c r="A53" s="9" t="s">
        <v>60</v>
      </c>
      <c r="B53" s="10"/>
      <c r="C53" s="15">
        <f>C49+C50+C51+C52</f>
        <v>282304</v>
      </c>
      <c r="D53" s="15">
        <f>D49+D50+D51+D52</f>
        <v>316632</v>
      </c>
    </row>
    <row r="54" spans="1:8" x14ac:dyDescent="0.25">
      <c r="A54" t="s">
        <v>61</v>
      </c>
      <c r="B54" s="10"/>
      <c r="C54" s="10">
        <v>106</v>
      </c>
      <c r="D54" s="10">
        <v>108</v>
      </c>
      <c r="F54" t="s">
        <v>62</v>
      </c>
    </row>
    <row r="55" spans="1:8" x14ac:dyDescent="0.25">
      <c r="A55" t="s">
        <v>63</v>
      </c>
      <c r="B55" s="10"/>
      <c r="C55" s="10">
        <v>-1837</v>
      </c>
      <c r="D55" s="10">
        <v>-7837</v>
      </c>
      <c r="F55" s="24" t="e">
        <f>B53/B59</f>
        <v>#DIV/0!</v>
      </c>
      <c r="G55" s="24">
        <f>C51/C59</f>
        <v>0.35259141379435061</v>
      </c>
      <c r="H55" s="24">
        <f>D51/D59</f>
        <v>0.45979608745369516</v>
      </c>
    </row>
    <row r="56" spans="1:8" x14ac:dyDescent="0.25">
      <c r="A56" t="s">
        <v>64</v>
      </c>
      <c r="B56" s="10"/>
      <c r="C56" s="10">
        <v>55437</v>
      </c>
      <c r="D56" s="10">
        <v>75066</v>
      </c>
      <c r="F56" t="e">
        <f>B53/B44</f>
        <v>#DIV/0!</v>
      </c>
      <c r="G56">
        <f>C51/C44</f>
        <v>0.11590563763081116</v>
      </c>
      <c r="H56">
        <f>D51/D44</f>
        <v>0.14513427351812827</v>
      </c>
    </row>
    <row r="57" spans="1:8" x14ac:dyDescent="0.25">
      <c r="A57" t="s">
        <v>65</v>
      </c>
      <c r="B57" s="10"/>
      <c r="C57" s="10">
        <v>-1367</v>
      </c>
      <c r="D57" s="10">
        <v>-4487</v>
      </c>
      <c r="F57" t="e">
        <f>B51/(B51+B59)</f>
        <v>#DIV/0!</v>
      </c>
      <c r="G57">
        <f>C51/(C51+C59)</f>
        <v>0.26067843562990334</v>
      </c>
      <c r="H57">
        <f t="shared" ref="H57" si="24">D51/(D51+D59)</f>
        <v>0.31497281805687805</v>
      </c>
    </row>
    <row r="58" spans="1:8" x14ac:dyDescent="0.25">
      <c r="A58" t="s">
        <v>66</v>
      </c>
      <c r="B58" s="10"/>
      <c r="C58" s="10">
        <v>85915</v>
      </c>
      <c r="D58" s="10">
        <v>83193</v>
      </c>
      <c r="F58">
        <f>B16/B18*-1</f>
        <v>13.897389192471159</v>
      </c>
      <c r="G58">
        <f t="shared" ref="G58:H58" si="25">C16/C18*-1</f>
        <v>13.752902155887231</v>
      </c>
      <c r="H58">
        <f t="shared" si="25"/>
        <v>5.1744824672581329</v>
      </c>
    </row>
    <row r="59" spans="1:8" x14ac:dyDescent="0.25">
      <c r="A59" s="9" t="s">
        <v>67</v>
      </c>
      <c r="B59" s="12"/>
      <c r="C59" s="12">
        <v>138245</v>
      </c>
      <c r="D59" s="12">
        <v>146043</v>
      </c>
      <c r="F59" t="e">
        <f>B16/B49</f>
        <v>#DIV/0!</v>
      </c>
      <c r="G59">
        <f t="shared" ref="G59:H59" si="26">C16/C49</f>
        <v>0.17487663953439331</v>
      </c>
      <c r="H59">
        <f t="shared" si="26"/>
        <v>7.8819509244303157E-2</v>
      </c>
    </row>
    <row r="60" spans="1:8" x14ac:dyDescent="0.25">
      <c r="A60" s="9" t="s">
        <v>68</v>
      </c>
      <c r="B60" s="10"/>
      <c r="C60" s="15">
        <v>420549</v>
      </c>
      <c r="D60" s="15">
        <v>462675</v>
      </c>
      <c r="F60" s="26">
        <f>F51/(B18+B101)</f>
        <v>-7.1550484526414504</v>
      </c>
      <c r="G60" s="26">
        <f t="shared" ref="G60:H60" si="27">G51/(C18+C101)</f>
        <v>-7.3195057369814656</v>
      </c>
      <c r="H60" s="26">
        <f t="shared" si="27"/>
        <v>-3.3787586206896552</v>
      </c>
    </row>
    <row r="61" spans="1:8" x14ac:dyDescent="0.25">
      <c r="A61" s="1"/>
      <c r="B61" s="10"/>
      <c r="C61" s="10"/>
      <c r="D61" s="10"/>
      <c r="F61" s="34">
        <f>F62/B29</f>
        <v>8.009903902726025</v>
      </c>
      <c r="G61" s="34">
        <f t="shared" ref="G61:H61" si="28">G62/C29</f>
        <v>6.8946192696192696</v>
      </c>
      <c r="H61" s="34">
        <f t="shared" si="28"/>
        <v>7.1883403670625183</v>
      </c>
    </row>
    <row r="62" spans="1:8" x14ac:dyDescent="0.25">
      <c r="A62" s="11"/>
      <c r="B62" s="12"/>
      <c r="C62" s="12"/>
      <c r="D62" s="12"/>
      <c r="F62" s="24">
        <f>B88+B91+B100</f>
        <v>81685</v>
      </c>
      <c r="G62" s="24">
        <f t="shared" ref="G62:H62" si="29">C88+C91+C100</f>
        <v>70987</v>
      </c>
      <c r="H62" s="24">
        <f t="shared" si="29"/>
        <v>73242</v>
      </c>
    </row>
    <row r="63" spans="1:8" x14ac:dyDescent="0.25">
      <c r="B63" s="10"/>
      <c r="C63" s="10"/>
      <c r="D63" s="10"/>
    </row>
    <row r="64" spans="1:8" x14ac:dyDescent="0.25">
      <c r="B64" s="10"/>
      <c r="C64" s="10"/>
      <c r="D64" s="10"/>
      <c r="F64" t="s">
        <v>69</v>
      </c>
    </row>
    <row r="65" spans="1:8" x14ac:dyDescent="0.25">
      <c r="A65" s="1"/>
      <c r="B65" s="10"/>
      <c r="C65" s="10"/>
      <c r="D65" s="10"/>
      <c r="F65" t="e">
        <f>B7/B44</f>
        <v>#DIV/0!</v>
      </c>
      <c r="G65">
        <f t="shared" ref="G65:H65" si="30">C7/C44</f>
        <v>1.1171635172120253</v>
      </c>
      <c r="H65">
        <f t="shared" si="30"/>
        <v>1.1108942562273734</v>
      </c>
    </row>
    <row r="66" spans="1:8" x14ac:dyDescent="0.25">
      <c r="A66" s="1"/>
      <c r="B66" s="10"/>
      <c r="C66" s="10"/>
      <c r="D66" s="10"/>
      <c r="F66" t="e">
        <f>B7/B40</f>
        <v>#DIV/0!</v>
      </c>
      <c r="G66">
        <f t="shared" ref="G66:H66" si="31">C7/C40</f>
        <v>2.9312395106094922</v>
      </c>
      <c r="H66">
        <f t="shared" si="31"/>
        <v>2.7527675869640897</v>
      </c>
    </row>
    <row r="67" spans="1:8" x14ac:dyDescent="0.25">
      <c r="A67" s="1"/>
      <c r="B67" s="10"/>
      <c r="C67" s="10"/>
      <c r="D67" s="10"/>
      <c r="F67" t="e">
        <f>B9/B36</f>
        <v>#DIV/0!</v>
      </c>
      <c r="G67">
        <f t="shared" ref="G67:H67" si="32">C9/C36</f>
        <v>8.3438725490196077</v>
      </c>
      <c r="H67">
        <f t="shared" si="32"/>
        <v>8.3950297921813686</v>
      </c>
    </row>
    <row r="68" spans="1:8" x14ac:dyDescent="0.25">
      <c r="A68" s="11"/>
      <c r="B68" s="12"/>
      <c r="C68" s="12"/>
      <c r="D68" s="12"/>
      <c r="F68" t="e">
        <f>B24/B44</f>
        <v>#DIV/0!</v>
      </c>
      <c r="G68">
        <f t="shared" ref="G68:H68" si="33">C24/C44</f>
        <v>7.9334393851846041E-2</v>
      </c>
      <c r="H68">
        <f t="shared" si="33"/>
        <v>-5.8831793375479545E-3</v>
      </c>
    </row>
    <row r="69" spans="1:8" ht="15.75" thickBot="1" x14ac:dyDescent="0.3">
      <c r="A69" s="13"/>
      <c r="B69" s="14"/>
      <c r="C69" s="14"/>
      <c r="D69" s="14"/>
    </row>
    <row r="70" spans="1:8" ht="15.75" thickTop="1" x14ac:dyDescent="0.25"/>
    <row r="71" spans="1:8" x14ac:dyDescent="0.25">
      <c r="A71" s="43" t="s">
        <v>70</v>
      </c>
      <c r="B71" s="43"/>
      <c r="C71" s="43"/>
      <c r="D71" s="43"/>
      <c r="F71" t="s">
        <v>71</v>
      </c>
    </row>
    <row r="72" spans="1:8" x14ac:dyDescent="0.25">
      <c r="B72" s="42" t="s">
        <v>15</v>
      </c>
      <c r="C72" s="42"/>
      <c r="D72" s="42"/>
      <c r="F72">
        <f>129.12/B26</f>
        <v>61.779904306220104</v>
      </c>
      <c r="G72">
        <f t="shared" ref="G72" si="34">129.12/C26</f>
        <v>61.779904306220104</v>
      </c>
      <c r="H72">
        <f>129.12/D26</f>
        <v>61.779904306220104</v>
      </c>
    </row>
    <row r="73" spans="1:8" x14ac:dyDescent="0.25">
      <c r="B73" s="9">
        <v>2020</v>
      </c>
      <c r="C73" s="9">
        <v>2021</v>
      </c>
      <c r="D73" s="9">
        <v>2022</v>
      </c>
      <c r="F73" t="e">
        <f>129.12/F74</f>
        <v>#DIV/0!</v>
      </c>
      <c r="G73">
        <f t="shared" ref="G73:H73" si="35">129.12/G74</f>
        <v>9.6164021845274696</v>
      </c>
      <c r="H73">
        <f t="shared" si="35"/>
        <v>9.0083309710153863</v>
      </c>
    </row>
    <row r="74" spans="1:8" x14ac:dyDescent="0.25">
      <c r="A74" t="s">
        <v>72</v>
      </c>
      <c r="B74">
        <v>36410</v>
      </c>
      <c r="C74">
        <v>42377</v>
      </c>
      <c r="D74">
        <v>36477</v>
      </c>
      <c r="F74" s="24">
        <f>B59/B29</f>
        <v>0</v>
      </c>
      <c r="G74" s="24">
        <f t="shared" ref="G74:H74" si="36">C59/C29</f>
        <v>13.427059052059052</v>
      </c>
      <c r="H74" s="24">
        <f t="shared" si="36"/>
        <v>14.333398763372264</v>
      </c>
    </row>
    <row r="75" spans="1:8" x14ac:dyDescent="0.25">
      <c r="A75" s="9" t="s">
        <v>73</v>
      </c>
      <c r="B75" s="15"/>
      <c r="C75" s="15"/>
      <c r="D75" s="15"/>
      <c r="F75" s="24" t="e">
        <f>B24/B59</f>
        <v>#DIV/0!</v>
      </c>
      <c r="G75">
        <f t="shared" ref="G75:H75" si="37">C24/C59</f>
        <v>0.2413396506202756</v>
      </c>
      <c r="H75">
        <f t="shared" si="37"/>
        <v>-1.8638346240490815E-2</v>
      </c>
    </row>
    <row r="76" spans="1:8" x14ac:dyDescent="0.25">
      <c r="A76" t="s">
        <v>74</v>
      </c>
      <c r="B76" s="10">
        <v>21331</v>
      </c>
      <c r="C76" s="10">
        <v>33364</v>
      </c>
      <c r="D76" s="10">
        <v>-2722</v>
      </c>
      <c r="F76" s="24" t="e">
        <f>B24/(B59+B51)</f>
        <v>#DIV/0!</v>
      </c>
      <c r="G76" s="24">
        <f t="shared" ref="G76:H76" si="38">C24/(C59+C51)</f>
        <v>0.17842760804111471</v>
      </c>
      <c r="H76" s="24">
        <f t="shared" si="38"/>
        <v>-1.2767773801203605E-2</v>
      </c>
    </row>
    <row r="77" spans="1:8" x14ac:dyDescent="0.25">
      <c r="A77" t="s">
        <v>75</v>
      </c>
      <c r="B77" s="15"/>
      <c r="C77" s="15"/>
      <c r="D77" s="15"/>
      <c r="F77" t="e">
        <f>B24/B44</f>
        <v>#DIV/0!</v>
      </c>
      <c r="G77">
        <f t="shared" ref="G77:H77" si="39">C24/C44</f>
        <v>7.9334393851846041E-2</v>
      </c>
      <c r="H77">
        <f t="shared" si="39"/>
        <v>-5.8831793375479545E-3</v>
      </c>
    </row>
    <row r="78" spans="1:8" x14ac:dyDescent="0.25">
      <c r="A78" t="s">
        <v>76</v>
      </c>
      <c r="B78" s="10">
        <v>25180</v>
      </c>
      <c r="C78" s="10">
        <v>34433</v>
      </c>
      <c r="D78" s="10">
        <v>41921</v>
      </c>
      <c r="F78">
        <f>F79/F49</f>
        <v>-574.75589698821477</v>
      </c>
      <c r="G78">
        <f t="shared" ref="G78:H78" si="40">G79/G49</f>
        <v>-140.45881515595562</v>
      </c>
      <c r="H78">
        <f t="shared" si="40"/>
        <v>-44.783664610925754</v>
      </c>
    </row>
    <row r="79" spans="1:8" x14ac:dyDescent="0.25">
      <c r="A79" t="s">
        <v>77</v>
      </c>
      <c r="B79" s="10">
        <v>9208</v>
      </c>
      <c r="C79" s="10">
        <v>12757</v>
      </c>
      <c r="D79" s="10">
        <v>19621</v>
      </c>
      <c r="F79" s="25">
        <f>(129.12*B29)+B51-B34</f>
        <v>1316765.76</v>
      </c>
      <c r="G79" s="25">
        <f t="shared" ref="G79:H79" si="41">(129.12*C29)+C51-C34</f>
        <v>1341943.52</v>
      </c>
      <c r="H79" s="25">
        <f t="shared" si="41"/>
        <v>1328865.68</v>
      </c>
    </row>
    <row r="80" spans="1:8" x14ac:dyDescent="0.25">
      <c r="A80" t="s">
        <v>78</v>
      </c>
      <c r="B80" s="10">
        <v>-2582</v>
      </c>
      <c r="C80" s="10">
        <v>-14306</v>
      </c>
      <c r="D80" s="10">
        <v>16966</v>
      </c>
    </row>
    <row r="81" spans="1:4" x14ac:dyDescent="0.25">
      <c r="A81" t="s">
        <v>79</v>
      </c>
      <c r="B81" s="10">
        <v>-554</v>
      </c>
      <c r="C81" s="10" t="s">
        <v>80</v>
      </c>
      <c r="D81" s="10">
        <v>-8148</v>
      </c>
    </row>
    <row r="82" spans="1:4" x14ac:dyDescent="0.25">
      <c r="A82" t="s">
        <v>81</v>
      </c>
      <c r="B82" s="10"/>
      <c r="C82" s="10"/>
      <c r="D82" s="10"/>
    </row>
    <row r="83" spans="1:4" x14ac:dyDescent="0.25">
      <c r="A83" t="s">
        <v>44</v>
      </c>
      <c r="B83" s="10">
        <v>-2849</v>
      </c>
      <c r="C83" s="10">
        <v>-9487</v>
      </c>
      <c r="D83" s="10">
        <v>-2592</v>
      </c>
    </row>
    <row r="84" spans="1:4" x14ac:dyDescent="0.25">
      <c r="A84" t="s">
        <v>82</v>
      </c>
      <c r="B84" s="10">
        <v>-8169</v>
      </c>
      <c r="C84" s="10">
        <v>-18163</v>
      </c>
      <c r="D84" s="10">
        <v>-21897</v>
      </c>
    </row>
    <row r="85" spans="1:4" x14ac:dyDescent="0.25">
      <c r="A85" t="s">
        <v>54</v>
      </c>
      <c r="B85" s="10">
        <v>17480</v>
      </c>
      <c r="C85" s="10">
        <v>3602</v>
      </c>
      <c r="D85" s="10">
        <v>2945</v>
      </c>
    </row>
    <row r="86" spans="1:4" x14ac:dyDescent="0.25">
      <c r="A86" t="s">
        <v>83</v>
      </c>
      <c r="B86" s="10">
        <v>5754</v>
      </c>
      <c r="C86" s="10">
        <v>2123</v>
      </c>
      <c r="D86" s="10">
        <v>-1558</v>
      </c>
    </row>
    <row r="87" spans="1:4" x14ac:dyDescent="0.25">
      <c r="A87" t="s">
        <v>84</v>
      </c>
      <c r="B87" s="10">
        <v>1265</v>
      </c>
      <c r="C87" s="10">
        <v>2314</v>
      </c>
      <c r="D87" s="10">
        <v>2216</v>
      </c>
    </row>
    <row r="88" spans="1:4" x14ac:dyDescent="0.25">
      <c r="A88" s="1" t="s">
        <v>85</v>
      </c>
      <c r="B88" s="10">
        <v>66064</v>
      </c>
      <c r="C88" s="10">
        <v>46327</v>
      </c>
      <c r="D88" s="10">
        <v>46752</v>
      </c>
    </row>
    <row r="89" spans="1:4" x14ac:dyDescent="0.25">
      <c r="A89" s="9" t="s">
        <v>86</v>
      </c>
      <c r="B89" s="10"/>
      <c r="C89" s="10"/>
      <c r="D89" s="10"/>
    </row>
    <row r="90" spans="1:4" x14ac:dyDescent="0.25">
      <c r="A90" t="s">
        <v>87</v>
      </c>
      <c r="B90" s="10">
        <v>-40140</v>
      </c>
      <c r="C90" s="10">
        <v>-61053</v>
      </c>
      <c r="D90" s="10">
        <v>-63645</v>
      </c>
    </row>
    <row r="91" spans="1:4" x14ac:dyDescent="0.25">
      <c r="A91" t="s">
        <v>88</v>
      </c>
      <c r="B91" s="12">
        <v>5096</v>
      </c>
      <c r="C91" s="12">
        <v>5657</v>
      </c>
      <c r="D91" s="12">
        <v>5324</v>
      </c>
    </row>
    <row r="92" spans="1:4" x14ac:dyDescent="0.25">
      <c r="A92" t="s">
        <v>89</v>
      </c>
      <c r="B92" s="10">
        <v>-2325</v>
      </c>
      <c r="C92" s="10">
        <v>-1985</v>
      </c>
      <c r="D92" s="10">
        <v>-8316</v>
      </c>
    </row>
    <row r="93" spans="1:4" x14ac:dyDescent="0.25">
      <c r="A93" t="s">
        <v>90</v>
      </c>
      <c r="B93" s="10">
        <v>50237</v>
      </c>
      <c r="C93" s="10">
        <v>59384</v>
      </c>
      <c r="D93" s="10">
        <v>31601</v>
      </c>
    </row>
    <row r="94" spans="1:4" x14ac:dyDescent="0.25">
      <c r="A94" t="s">
        <v>91</v>
      </c>
      <c r="B94" s="10">
        <v>-72479</v>
      </c>
      <c r="C94" s="10">
        <v>-60157</v>
      </c>
      <c r="D94" s="10">
        <v>-2565</v>
      </c>
    </row>
    <row r="95" spans="1:4" x14ac:dyDescent="0.25">
      <c r="A95" t="s">
        <v>92</v>
      </c>
      <c r="B95" s="10">
        <v>-59611</v>
      </c>
      <c r="C95" s="10">
        <v>-58154</v>
      </c>
      <c r="D95" s="10">
        <v>-37601</v>
      </c>
    </row>
    <row r="96" spans="1:4" x14ac:dyDescent="0.25">
      <c r="A96" s="9" t="s">
        <v>93</v>
      </c>
      <c r="B96" s="10"/>
      <c r="C96" s="10"/>
      <c r="D96" s="10"/>
    </row>
    <row r="97" spans="1:4" x14ac:dyDescent="0.25">
      <c r="A97" t="s">
        <v>94</v>
      </c>
      <c r="B97" s="10" t="s">
        <v>95</v>
      </c>
      <c r="C97" s="10" t="s">
        <v>95</v>
      </c>
      <c r="D97" s="10">
        <v>-6000</v>
      </c>
    </row>
    <row r="98" spans="1:4" x14ac:dyDescent="0.25">
      <c r="A98" t="s">
        <v>96</v>
      </c>
      <c r="B98" s="10">
        <v>6796</v>
      </c>
      <c r="C98" s="10">
        <v>7956</v>
      </c>
      <c r="D98" s="10">
        <v>41553</v>
      </c>
    </row>
    <row r="99" spans="1:4" x14ac:dyDescent="0.25">
      <c r="A99" t="s">
        <v>97</v>
      </c>
      <c r="B99" s="10">
        <v>-6177</v>
      </c>
      <c r="C99" s="10">
        <v>-7753</v>
      </c>
      <c r="D99" s="10">
        <v>-37554</v>
      </c>
    </row>
    <row r="100" spans="1:4" x14ac:dyDescent="0.25">
      <c r="A100" t="s">
        <v>98</v>
      </c>
      <c r="B100" s="10">
        <v>10525</v>
      </c>
      <c r="C100" s="10">
        <v>19003</v>
      </c>
      <c r="D100" s="10">
        <v>21166</v>
      </c>
    </row>
    <row r="101" spans="1:4" x14ac:dyDescent="0.25">
      <c r="A101" t="s">
        <v>99</v>
      </c>
      <c r="B101" s="12">
        <v>-1552</v>
      </c>
      <c r="C101" s="12">
        <v>-1590</v>
      </c>
      <c r="D101" s="12">
        <v>-1258</v>
      </c>
    </row>
    <row r="102" spans="1:4" x14ac:dyDescent="0.25">
      <c r="A102" t="s">
        <v>100</v>
      </c>
      <c r="B102" s="10">
        <v>-10642</v>
      </c>
      <c r="C102" s="10">
        <v>-11163</v>
      </c>
      <c r="D102" s="10">
        <v>-7941</v>
      </c>
    </row>
    <row r="103" spans="1:4" x14ac:dyDescent="0.25">
      <c r="A103" t="s">
        <v>101</v>
      </c>
      <c r="B103" s="10">
        <v>-53</v>
      </c>
      <c r="C103" s="10">
        <v>-162</v>
      </c>
      <c r="D103" s="10">
        <v>-248</v>
      </c>
    </row>
    <row r="104" spans="1:4" x14ac:dyDescent="0.25">
      <c r="A104" t="s">
        <v>102</v>
      </c>
      <c r="B104" s="10">
        <v>-1104</v>
      </c>
      <c r="C104" s="10">
        <v>6291</v>
      </c>
      <c r="D104" s="10" t="s">
        <v>103</v>
      </c>
    </row>
    <row r="105" spans="1:4" x14ac:dyDescent="0.25">
      <c r="A105" t="s">
        <v>104</v>
      </c>
      <c r="B105" s="10">
        <v>618</v>
      </c>
      <c r="C105" s="10">
        <v>-364</v>
      </c>
      <c r="D105" s="10">
        <v>-1093</v>
      </c>
    </row>
    <row r="106" spans="1:4" x14ac:dyDescent="0.25">
      <c r="A106" t="s">
        <v>105</v>
      </c>
      <c r="B106" s="10">
        <v>5967</v>
      </c>
      <c r="C106" s="10">
        <v>-5900</v>
      </c>
      <c r="D106" s="10">
        <v>17776</v>
      </c>
    </row>
    <row r="107" spans="1:4" x14ac:dyDescent="0.25">
      <c r="A107" t="s">
        <v>106</v>
      </c>
      <c r="B107" s="10">
        <v>42377</v>
      </c>
      <c r="C107" s="10">
        <v>36477</v>
      </c>
      <c r="D107" s="10">
        <v>54253</v>
      </c>
    </row>
    <row r="108" spans="1:4" x14ac:dyDescent="0.25">
      <c r="A108" s="1"/>
      <c r="B108" s="10"/>
      <c r="C108" s="10"/>
      <c r="D108" s="10"/>
    </row>
    <row r="109" spans="1:4" x14ac:dyDescent="0.25">
      <c r="A109" s="1"/>
      <c r="B109" s="10"/>
      <c r="C109" s="10"/>
      <c r="D109" s="10"/>
    </row>
    <row r="110" spans="1:4" x14ac:dyDescent="0.25">
      <c r="A110" s="1"/>
      <c r="B110" s="10"/>
      <c r="C110" s="10"/>
      <c r="D110" s="10"/>
    </row>
    <row r="111" spans="1:4" x14ac:dyDescent="0.25">
      <c r="A111" s="11"/>
      <c r="B111" s="12"/>
      <c r="C111" s="12"/>
      <c r="D111" s="12"/>
    </row>
    <row r="112" spans="1:4" x14ac:dyDescent="0.25">
      <c r="A112" s="11"/>
      <c r="B112" s="12"/>
      <c r="C112" s="12"/>
      <c r="D112" s="12"/>
    </row>
    <row r="113" spans="1:4" ht="15.75" thickBot="1" x14ac:dyDescent="0.3">
      <c r="A113" s="13"/>
      <c r="B113" s="14"/>
      <c r="C113" s="14"/>
      <c r="D113" s="14"/>
    </row>
    <row r="114" spans="1:4" ht="15.75" thickTop="1" x14ac:dyDescent="0.25">
      <c r="B114" s="10"/>
      <c r="C114" s="10"/>
      <c r="D114" s="10"/>
    </row>
    <row r="115" spans="1:4" x14ac:dyDescent="0.25">
      <c r="B115" s="10"/>
      <c r="C115" s="10"/>
      <c r="D115" s="10"/>
    </row>
    <row r="116" spans="1:4" x14ac:dyDescent="0.25">
      <c r="B116" s="10"/>
      <c r="C116" s="10"/>
      <c r="D116" s="10"/>
    </row>
    <row r="117" spans="1:4" x14ac:dyDescent="0.25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tabSelected="1" topLeftCell="A24" workbookViewId="0">
      <selection activeCell="F51" sqref="F51"/>
    </sheetView>
  </sheetViews>
  <sheetFormatPr defaultRowHeight="15" x14ac:dyDescent="0.25"/>
  <cols>
    <col min="1" max="1" width="4.7109375" customWidth="1"/>
    <col min="2" max="2" width="44.85546875" customWidth="1"/>
    <col min="3" max="5" width="15.7109375" bestFit="1" customWidth="1"/>
    <col min="6" max="6" width="64.5703125" customWidth="1"/>
    <col min="9" max="10" width="11.140625" bestFit="1" customWidth="1"/>
    <col min="11" max="11" width="10.85546875" bestFit="1" customWidth="1"/>
  </cols>
  <sheetData>
    <row r="1" spans="1:11" ht="60" customHeight="1" x14ac:dyDescent="0.4">
      <c r="A1" s="7"/>
      <c r="B1" s="18" t="s">
        <v>107</v>
      </c>
      <c r="C1" s="19"/>
      <c r="D1" s="19"/>
      <c r="E1" s="19"/>
      <c r="F1" s="41" t="s">
        <v>108</v>
      </c>
      <c r="G1" s="19"/>
      <c r="H1" s="19"/>
      <c r="I1" s="19"/>
      <c r="J1" s="19"/>
    </row>
    <row r="2" spans="1:11" x14ac:dyDescent="0.25">
      <c r="C2" s="42" t="s">
        <v>109</v>
      </c>
      <c r="D2" s="42"/>
      <c r="E2" s="42"/>
    </row>
    <row r="3" spans="1:11" x14ac:dyDescent="0.25">
      <c r="C3" s="9">
        <v>2020</v>
      </c>
      <c r="D3" s="9">
        <v>2021</v>
      </c>
      <c r="E3" s="9">
        <v>2022</v>
      </c>
    </row>
    <row r="4" spans="1:11" x14ac:dyDescent="0.25">
      <c r="A4" s="20">
        <v>1</v>
      </c>
      <c r="B4" s="9" t="s">
        <v>110</v>
      </c>
      <c r="G4" t="s">
        <v>111</v>
      </c>
      <c r="I4" s="37">
        <f>'Financial Statements'!K4</f>
        <v>0.21695366571345684</v>
      </c>
      <c r="J4" s="37">
        <f>'Financial Statements'!L4</f>
        <v>9.3995172639850841E-2</v>
      </c>
      <c r="K4" s="37"/>
    </row>
    <row r="5" spans="1:11" x14ac:dyDescent="0.25">
      <c r="A5" s="20">
        <f>+A4+0.1</f>
        <v>1.1000000000000001</v>
      </c>
      <c r="B5" s="1" t="s">
        <v>112</v>
      </c>
      <c r="D5" s="39">
        <f>'Financial Statements'!F33</f>
        <v>1.1357597739445826</v>
      </c>
      <c r="E5" s="39">
        <f>'Financial Statements'!G33</f>
        <v>0.9446435811136924</v>
      </c>
      <c r="G5" t="s">
        <v>113</v>
      </c>
      <c r="I5" s="37">
        <f>'Financial Statements'!K5</f>
        <v>0.11982493110714865</v>
      </c>
      <c r="J5" s="37">
        <f>'Financial Statements'!L5</f>
        <v>4.6073610243726913E-3</v>
      </c>
      <c r="K5" s="37"/>
    </row>
    <row r="6" spans="1:11" x14ac:dyDescent="0.25">
      <c r="A6" s="20">
        <f t="shared" ref="A6:A13" si="0">+A5+0.1</f>
        <v>1.2000000000000002</v>
      </c>
      <c r="B6" s="1" t="s">
        <v>114</v>
      </c>
      <c r="D6" s="39">
        <f>'Financial Statements'!F35</f>
        <v>0.90633039517523517</v>
      </c>
      <c r="E6" s="39">
        <f>'Financial Statements'!G35</f>
        <v>0.72323721145740161</v>
      </c>
      <c r="G6" t="s">
        <v>115</v>
      </c>
      <c r="I6" s="37">
        <f>'Financial Statements'!K6</f>
        <v>0.34020770030972852</v>
      </c>
      <c r="J6" s="37">
        <f>'Financial Statements'!L6</f>
        <v>0.18877365316727696</v>
      </c>
      <c r="K6" s="37"/>
    </row>
    <row r="7" spans="1:11" x14ac:dyDescent="0.25">
      <c r="A7" s="20">
        <f t="shared" si="0"/>
        <v>1.3000000000000003</v>
      </c>
      <c r="B7" s="1" t="s">
        <v>116</v>
      </c>
      <c r="D7" s="39">
        <f>'Financial Statements'!F37</f>
        <v>0.25459350793583851</v>
      </c>
      <c r="E7" s="39">
        <f>'Financial Statements'!G37</f>
        <v>0.34678524772673158</v>
      </c>
      <c r="I7" s="37"/>
      <c r="J7" s="37"/>
      <c r="K7" s="37"/>
    </row>
    <row r="8" spans="1:11" x14ac:dyDescent="0.25">
      <c r="A8" s="20">
        <f t="shared" si="0"/>
        <v>1.4000000000000004</v>
      </c>
      <c r="B8" s="1" t="s">
        <v>117</v>
      </c>
      <c r="D8" s="39">
        <f>'Financial Statements'!F38</f>
        <v>143.66690214611094</v>
      </c>
      <c r="E8" s="39">
        <f>'Financial Statements'!G38</f>
        <v>116.52258304444841</v>
      </c>
      <c r="G8" t="s">
        <v>118</v>
      </c>
      <c r="I8" s="37">
        <f>'Financial Statements'!K8</f>
        <v>0.29275908796323574</v>
      </c>
      <c r="J8" s="37">
        <f>'Financial Statements'!L8</f>
        <v>0.14013712919920193</v>
      </c>
      <c r="K8" s="37"/>
    </row>
    <row r="9" spans="1:11" x14ac:dyDescent="0.25">
      <c r="A9" s="20">
        <f t="shared" si="0"/>
        <v>1.5000000000000004</v>
      </c>
      <c r="B9" s="1" t="s">
        <v>119</v>
      </c>
      <c r="D9" s="39">
        <f>'Financial Statements'!F39</f>
        <v>43.744675851129458</v>
      </c>
      <c r="E9" s="39">
        <f>'Financial Statements'!G39</f>
        <v>43.4781065744328</v>
      </c>
      <c r="I9" s="37"/>
      <c r="J9" s="37"/>
      <c r="K9" s="37"/>
    </row>
    <row r="10" spans="1:11" x14ac:dyDescent="0.25">
      <c r="A10" s="20">
        <f t="shared" si="0"/>
        <v>1.6000000000000005</v>
      </c>
      <c r="B10" s="1" t="s">
        <v>120</v>
      </c>
      <c r="D10" s="39">
        <f>'Financial Statements'!F40</f>
        <v>69.389724025497159</v>
      </c>
      <c r="E10" s="39">
        <f>'Financial Statements'!G40</f>
        <v>79.065578140850533</v>
      </c>
      <c r="I10" s="37"/>
      <c r="J10" s="37"/>
      <c r="K10" s="37"/>
    </row>
    <row r="11" spans="1:11" x14ac:dyDescent="0.25">
      <c r="A11" s="20">
        <f t="shared" si="0"/>
        <v>1.7000000000000006</v>
      </c>
      <c r="B11" s="1" t="s">
        <v>121</v>
      </c>
      <c r="D11" s="39">
        <f>'Financial Statements'!F41</f>
        <v>25.552688039299991</v>
      </c>
      <c r="E11" s="39">
        <f>'Financial Statements'!G41</f>
        <v>30.081539661817608</v>
      </c>
      <c r="I11" s="37"/>
      <c r="J11" s="37"/>
      <c r="K11" s="37"/>
    </row>
    <row r="12" spans="1:11" x14ac:dyDescent="0.25">
      <c r="A12" s="20">
        <f t="shared" si="0"/>
        <v>1.8000000000000007</v>
      </c>
      <c r="B12" s="1" t="s">
        <v>122</v>
      </c>
      <c r="D12" s="39">
        <f>'Financial Statements'!F42</f>
        <v>-9.2360135067707461E-2</v>
      </c>
      <c r="E12" s="39">
        <f>'Financial Statements'!G42</f>
        <v>-5.5059319046001178</v>
      </c>
      <c r="G12" t="s">
        <v>123</v>
      </c>
      <c r="I12" s="37">
        <f>'Financial Statements'!K12</f>
        <v>0.22518139137857449</v>
      </c>
      <c r="J12" s="37">
        <f>'Financial Statements'!L12</f>
        <v>0.12763882115237232</v>
      </c>
      <c r="K12" s="37"/>
    </row>
    <row r="13" spans="1:11" x14ac:dyDescent="0.25">
      <c r="A13" s="20">
        <f t="shared" si="0"/>
        <v>1.9000000000000008</v>
      </c>
      <c r="B13" s="1" t="s">
        <v>124</v>
      </c>
      <c r="D13" s="39">
        <f>'Financial Statements'!F43</f>
        <v>4.1109186032156859E-2</v>
      </c>
      <c r="E13" s="39">
        <f>'Financial Statements'!G43</f>
        <v>-1.6735962084349094E-2</v>
      </c>
      <c r="I13" s="37"/>
      <c r="J13" s="37"/>
      <c r="K13" s="37"/>
    </row>
    <row r="14" spans="1:11" x14ac:dyDescent="0.25">
      <c r="A14" s="20"/>
      <c r="B14" s="17" t="s">
        <v>125</v>
      </c>
      <c r="D14" s="39">
        <f>'Financial Statements'!F44</f>
        <v>19314</v>
      </c>
      <c r="E14" s="39">
        <f>'Financial Statements'!G44</f>
        <v>-8602</v>
      </c>
      <c r="G14" t="s">
        <v>126</v>
      </c>
      <c r="I14" s="37">
        <f>'Financial Statements'!K13</f>
        <v>8.6941325527545979E-2</v>
      </c>
      <c r="J14" s="37">
        <f>'Financial Statements'!L13</f>
        <v>-0.50769725471281002</v>
      </c>
      <c r="K14" s="37"/>
    </row>
    <row r="15" spans="1:11" x14ac:dyDescent="0.25">
      <c r="A15" s="20"/>
      <c r="I15" s="37"/>
      <c r="J15" s="37"/>
      <c r="K15" s="37"/>
    </row>
    <row r="16" spans="1:11" x14ac:dyDescent="0.25">
      <c r="A16" s="20">
        <f>+A4+1</f>
        <v>2</v>
      </c>
      <c r="B16" s="21" t="s">
        <v>127</v>
      </c>
      <c r="G16" t="s">
        <v>128</v>
      </c>
      <c r="I16" s="37">
        <f>'Financial Statements'!K14</f>
        <v>0.56410857437532225</v>
      </c>
      <c r="J16" s="37">
        <f>'Financial Statements'!L14</f>
        <v>-1.0815849418534949</v>
      </c>
      <c r="K16" s="37"/>
    </row>
    <row r="17" spans="1:11" x14ac:dyDescent="0.25">
      <c r="A17" s="20">
        <f>+A16+0.1</f>
        <v>2.1</v>
      </c>
      <c r="B17" s="1" t="s">
        <v>129</v>
      </c>
      <c r="C17" s="40">
        <f>'Financial Statements'!F47</f>
        <v>0.3956779186870571</v>
      </c>
      <c r="D17" s="40">
        <f>'Financial Statements'!G47</f>
        <v>0.42032514441639601</v>
      </c>
      <c r="E17" s="40">
        <f>'Financial Statements'!H47</f>
        <v>0.43805339865326287</v>
      </c>
      <c r="I17" s="37"/>
      <c r="J17" s="37"/>
      <c r="K17" s="37"/>
    </row>
    <row r="18" spans="1:11" x14ac:dyDescent="0.25">
      <c r="A18" s="20">
        <f>+A17+0.1</f>
        <v>2.2000000000000002</v>
      </c>
      <c r="B18" s="1" t="s">
        <v>130</v>
      </c>
      <c r="C18" s="40">
        <f>'Financial Statements'!F48</f>
        <v>-5.9342492436487218E-3</v>
      </c>
      <c r="D18" s="40">
        <f>'Financial Statements'!G48</f>
        <v>-2.033536105163232E-2</v>
      </c>
      <c r="E18" s="40">
        <f>'Financial Statements'!H48</f>
        <v>-5.7731481391407886E-2</v>
      </c>
      <c r="G18" t="s">
        <v>131</v>
      </c>
      <c r="I18" s="37">
        <f>'Financial Statements'!$L$16</f>
        <v>-9.1527416759499935E-2</v>
      </c>
      <c r="J18" s="37"/>
      <c r="K18" s="37"/>
    </row>
    <row r="19" spans="1:11" x14ac:dyDescent="0.25">
      <c r="A19" s="20"/>
      <c r="B19" s="17" t="s">
        <v>132</v>
      </c>
      <c r="C19" s="39">
        <f>'Financial Statements'!F49</f>
        <v>-2291</v>
      </c>
      <c r="D19" s="39">
        <f>'Financial Statements'!G49</f>
        <v>-9554</v>
      </c>
      <c r="E19" s="39">
        <f>'Financial Statements'!H49</f>
        <v>-29673</v>
      </c>
      <c r="I19" s="37"/>
      <c r="J19" s="37"/>
      <c r="K19" s="37"/>
    </row>
    <row r="20" spans="1:11" x14ac:dyDescent="0.25">
      <c r="A20" s="20">
        <f>+A18+0.1</f>
        <v>2.3000000000000003</v>
      </c>
      <c r="B20" s="1" t="s">
        <v>133</v>
      </c>
      <c r="C20" s="39">
        <f>'Financial Statements'!F50</f>
        <v>5.928809731029052E-2</v>
      </c>
      <c r="D20" s="39">
        <f>'Financial Statements'!G50</f>
        <v>5.2954097509269465E-2</v>
      </c>
      <c r="E20" s="39">
        <f>'Financial Statements'!H50</f>
        <v>2.3829581912242232E-2</v>
      </c>
      <c r="G20" t="s">
        <v>134</v>
      </c>
      <c r="I20" s="37">
        <f>'Financial Statements'!$L$17</f>
        <v>0.10016906472254125</v>
      </c>
      <c r="J20" s="37"/>
      <c r="K20" s="37"/>
    </row>
    <row r="21" spans="1:11" x14ac:dyDescent="0.25">
      <c r="A21" s="20"/>
      <c r="B21" s="17" t="s">
        <v>135</v>
      </c>
      <c r="C21" s="39">
        <f>'Financial Statements'!F51</f>
        <v>22889</v>
      </c>
      <c r="D21" s="39">
        <f>'Financial Statements'!G51</f>
        <v>24879</v>
      </c>
      <c r="E21" s="39">
        <f>'Financial Statements'!H51</f>
        <v>12248</v>
      </c>
      <c r="G21" t="s">
        <v>136</v>
      </c>
      <c r="I21" s="37">
        <f>'Financial Statements'!$L$18</f>
        <v>9.2270816639253225E-2</v>
      </c>
      <c r="J21" s="37"/>
      <c r="K21" s="37"/>
    </row>
    <row r="22" spans="1:11" x14ac:dyDescent="0.25">
      <c r="A22" s="20">
        <f>+A20+0.1</f>
        <v>2.4000000000000004</v>
      </c>
      <c r="B22" s="1" t="s">
        <v>137</v>
      </c>
      <c r="C22" s="39">
        <f>'Financial Statements'!F52</f>
        <v>5.5252496995316841E-2</v>
      </c>
      <c r="D22" s="39">
        <f>'Financial Statements'!G52</f>
        <v>7.1014128755145567E-2</v>
      </c>
      <c r="E22" s="39">
        <f>'Financial Statements'!H52</f>
        <v>-5.2958950004183018E-3</v>
      </c>
      <c r="I22" s="37"/>
      <c r="J22" s="37"/>
      <c r="K22" s="37"/>
    </row>
    <row r="23" spans="1:11" x14ac:dyDescent="0.25">
      <c r="A23" s="20"/>
      <c r="G23" t="s">
        <v>138</v>
      </c>
      <c r="I23" s="37">
        <f>'Financial Statements'!$L$19</f>
        <v>0.12159941056449784</v>
      </c>
      <c r="J23" s="37"/>
      <c r="K23" s="37"/>
    </row>
    <row r="24" spans="1:11" x14ac:dyDescent="0.25">
      <c r="A24" s="20">
        <f>+A16+1</f>
        <v>3</v>
      </c>
      <c r="B24" s="9" t="s">
        <v>139</v>
      </c>
      <c r="C24">
        <f t="shared" ref="C24:D24" si="1">D24</f>
        <v>0</v>
      </c>
      <c r="D24">
        <f t="shared" si="1"/>
        <v>0</v>
      </c>
      <c r="G24" t="s">
        <v>140</v>
      </c>
      <c r="I24" s="37">
        <f>'Financial Statements'!$L$19</f>
        <v>0.12159941056449784</v>
      </c>
      <c r="J24" s="37"/>
      <c r="K24" s="37"/>
    </row>
    <row r="25" spans="1:11" x14ac:dyDescent="0.25">
      <c r="A25" s="20">
        <f>+A24+0.1</f>
        <v>3.1</v>
      </c>
      <c r="B25" s="1" t="s">
        <v>141</v>
      </c>
      <c r="D25" s="39">
        <f>'Financial Statements'!G55</f>
        <v>0.35259141379435061</v>
      </c>
      <c r="E25" s="39">
        <f>'Financial Statements'!H55</f>
        <v>0.45979608745369516</v>
      </c>
      <c r="I25" s="37"/>
      <c r="J25" s="37"/>
      <c r="K25" s="37"/>
    </row>
    <row r="26" spans="1:11" x14ac:dyDescent="0.25">
      <c r="A26" s="20">
        <f t="shared" ref="A26:A30" si="2">+A25+0.1</f>
        <v>3.2</v>
      </c>
      <c r="B26" s="1" t="s">
        <v>142</v>
      </c>
      <c r="D26" s="39">
        <f>'Financial Statements'!G56</f>
        <v>0.11590563763081116</v>
      </c>
      <c r="E26" s="39">
        <f>'Financial Statements'!H56</f>
        <v>0.14513427351812827</v>
      </c>
      <c r="I26" s="37"/>
      <c r="J26" s="37"/>
      <c r="K26" s="37"/>
    </row>
    <row r="27" spans="1:11" x14ac:dyDescent="0.25">
      <c r="A27" s="20">
        <f t="shared" si="2"/>
        <v>3.3000000000000003</v>
      </c>
      <c r="B27" s="1" t="s">
        <v>143</v>
      </c>
      <c r="D27" s="39">
        <f>'Financial Statements'!G57</f>
        <v>0.26067843562990334</v>
      </c>
      <c r="E27" s="39">
        <f>'Financial Statements'!H57</f>
        <v>0.31497281805687805</v>
      </c>
      <c r="G27" t="s">
        <v>144</v>
      </c>
      <c r="I27" s="37">
        <f>'Financial Statements'!L22</f>
        <v>0.60432208131294296</v>
      </c>
      <c r="J27" s="37">
        <f>'Financial Statements'!M22</f>
        <v>0.57967485558360399</v>
      </c>
      <c r="K27" s="37">
        <f>'Financial Statements'!N22</f>
        <v>0.56194660134673713</v>
      </c>
    </row>
    <row r="28" spans="1:11" x14ac:dyDescent="0.25">
      <c r="A28" s="20">
        <f t="shared" si="2"/>
        <v>3.4000000000000004</v>
      </c>
      <c r="B28" s="1" t="s">
        <v>145</v>
      </c>
      <c r="C28" s="39">
        <f>'Financial Statements'!F58</f>
        <v>13.897389192471159</v>
      </c>
      <c r="D28" s="39">
        <f>'Financial Statements'!G58</f>
        <v>13.752902155887231</v>
      </c>
      <c r="E28" s="39">
        <f>'Financial Statements'!H58</f>
        <v>5.1744824672581329</v>
      </c>
      <c r="G28" t="s">
        <v>146</v>
      </c>
      <c r="I28" s="37">
        <f>'Financial Statements'!L23</f>
        <v>0.3956779186870571</v>
      </c>
      <c r="J28" s="37">
        <f>'Financial Statements'!M23</f>
        <v>0.42032514441639601</v>
      </c>
      <c r="K28" s="37">
        <f>'Financial Statements'!N23</f>
        <v>0.43805339865326287</v>
      </c>
    </row>
    <row r="29" spans="1:11" x14ac:dyDescent="0.25">
      <c r="A29" s="20">
        <f t="shared" si="2"/>
        <v>3.5000000000000004</v>
      </c>
      <c r="B29" s="1" t="s">
        <v>147</v>
      </c>
      <c r="D29" s="39">
        <f>'Financial Statements'!G59</f>
        <v>0.17487663953439331</v>
      </c>
      <c r="E29" s="39">
        <f>'Financial Statements'!H59</f>
        <v>7.8819509244303157E-2</v>
      </c>
      <c r="G29" t="s">
        <v>148</v>
      </c>
      <c r="I29" s="37">
        <f>'Financial Statements'!L24</f>
        <v>0.94068600024866345</v>
      </c>
      <c r="J29" s="37">
        <f>'Financial Statements'!M24</f>
        <v>0.94704590249073051</v>
      </c>
      <c r="K29" s="37">
        <f>'Financial Statements'!N24</f>
        <v>0.97617041808775773</v>
      </c>
    </row>
    <row r="30" spans="1:11" x14ac:dyDescent="0.25">
      <c r="A30" s="20">
        <f t="shared" si="2"/>
        <v>3.6000000000000005</v>
      </c>
      <c r="B30" s="1" t="s">
        <v>149</v>
      </c>
      <c r="C30" s="38">
        <f>'Financial Statements'!F61</f>
        <v>8.009903902726025</v>
      </c>
      <c r="D30" s="38">
        <f>'Financial Statements'!G61</f>
        <v>6.8946192696192696</v>
      </c>
      <c r="E30" s="38">
        <f>'Financial Statements'!H61</f>
        <v>7.1883403670625183</v>
      </c>
      <c r="G30" t="s">
        <v>126</v>
      </c>
      <c r="I30" s="37">
        <f>'Financial Statements'!L25</f>
        <v>5.928809731029052E-2</v>
      </c>
      <c r="J30" s="37">
        <f>'Financial Statements'!M25</f>
        <v>5.2954097509269465E-2</v>
      </c>
      <c r="K30" s="37">
        <f>'Financial Statements'!N25</f>
        <v>2.3829581912242232E-2</v>
      </c>
    </row>
    <row r="31" spans="1:11" x14ac:dyDescent="0.25">
      <c r="A31" s="20"/>
      <c r="B31" s="17" t="s">
        <v>150</v>
      </c>
      <c r="C31">
        <f>'Financial Statements'!F62</f>
        <v>81685</v>
      </c>
      <c r="D31">
        <f>'Financial Statements'!G62</f>
        <v>70987</v>
      </c>
      <c r="E31">
        <f>'Financial Statements'!H62</f>
        <v>73242</v>
      </c>
      <c r="G31" t="s">
        <v>151</v>
      </c>
      <c r="I31" s="37">
        <f>'Financial Statements'!L26</f>
        <v>5.5252496995316841E-2</v>
      </c>
      <c r="J31" s="37">
        <f>'Financial Statements'!M26</f>
        <v>7.1014128755145567E-2</v>
      </c>
      <c r="K31" s="37">
        <f>'Financial Statements'!N26</f>
        <v>-5.2958950004183018E-3</v>
      </c>
    </row>
    <row r="32" spans="1:11" x14ac:dyDescent="0.25">
      <c r="A32" s="20"/>
      <c r="I32" s="37"/>
      <c r="J32" s="37"/>
      <c r="K32" s="37"/>
    </row>
    <row r="33" spans="1:11" x14ac:dyDescent="0.25">
      <c r="A33" s="20">
        <f>+A24+1</f>
        <v>4</v>
      </c>
      <c r="B33" s="21" t="s">
        <v>152</v>
      </c>
      <c r="I33" s="37"/>
      <c r="J33" s="37"/>
      <c r="K33" s="37"/>
    </row>
    <row r="34" spans="1:11" x14ac:dyDescent="0.25">
      <c r="A34" s="20">
        <f>+A33+0.1</f>
        <v>4.0999999999999996</v>
      </c>
      <c r="B34" s="1" t="s">
        <v>153</v>
      </c>
      <c r="D34" s="39">
        <f>'Financial Statements'!G65</f>
        <v>1.1171635172120253</v>
      </c>
      <c r="E34" s="39">
        <f>'Financial Statements'!H65</f>
        <v>1.1108942562273734</v>
      </c>
      <c r="I34" s="37"/>
      <c r="J34" s="37"/>
      <c r="K34" s="37"/>
    </row>
    <row r="35" spans="1:11" x14ac:dyDescent="0.25">
      <c r="A35" s="20">
        <f t="shared" ref="A35:A37" si="3">+A34+0.1</f>
        <v>4.1999999999999993</v>
      </c>
      <c r="B35" s="1" t="s">
        <v>154</v>
      </c>
      <c r="D35" s="39">
        <f>'Financial Statements'!G66</f>
        <v>2.9312395106094922</v>
      </c>
      <c r="E35" s="39">
        <f>'Financial Statements'!H66</f>
        <v>2.7527675869640897</v>
      </c>
      <c r="G35" t="s">
        <v>155</v>
      </c>
      <c r="I35" s="37">
        <f>'Financial Statements'!L28</f>
        <v>6.2626921961125612E-2</v>
      </c>
      <c r="J35" s="37">
        <f>'Financial Statements'!M28</f>
        <v>8.1203093937704071E-2</v>
      </c>
      <c r="K35" s="37">
        <f>'Financial Statements'!N28</f>
        <v>-1.1549020103777752E-2</v>
      </c>
    </row>
    <row r="36" spans="1:11" x14ac:dyDescent="0.25">
      <c r="A36" s="20">
        <f t="shared" si="3"/>
        <v>4.2999999999999989</v>
      </c>
      <c r="B36" s="1" t="s">
        <v>156</v>
      </c>
      <c r="D36" s="39">
        <f>'Financial Statements'!G67</f>
        <v>8.3438725490196077</v>
      </c>
      <c r="E36" s="39">
        <f>'Financial Statements'!H67</f>
        <v>8.3950297921813686</v>
      </c>
      <c r="G36" t="s">
        <v>157</v>
      </c>
      <c r="I36" s="37">
        <f>'Financial Statements'!L29</f>
        <v>0</v>
      </c>
      <c r="J36" s="37">
        <f>'Financial Statements'!M29*-1</f>
        <v>0.14348916241866633</v>
      </c>
      <c r="K36" s="37">
        <f>'Financial Statements'!N29*-1</f>
        <v>0.1241342465870053</v>
      </c>
    </row>
    <row r="37" spans="1:11" x14ac:dyDescent="0.25">
      <c r="A37" s="20">
        <f t="shared" si="3"/>
        <v>4.3999999999999986</v>
      </c>
      <c r="B37" s="1" t="s">
        <v>158</v>
      </c>
      <c r="D37" s="39">
        <f>'Financial Statements'!G68</f>
        <v>7.9334393851846041E-2</v>
      </c>
      <c r="E37" s="39">
        <f>'Financial Statements'!H68</f>
        <v>-5.8831793375479545E-3</v>
      </c>
      <c r="G37" t="s">
        <v>159</v>
      </c>
      <c r="I37" s="37">
        <f>'Financial Statements'!L30</f>
        <v>0</v>
      </c>
      <c r="J37" s="37">
        <f>'Financial Statements'!M30*-1</f>
        <v>0.60644808144944984</v>
      </c>
      <c r="K37" s="37">
        <f>'Financial Statements'!N30*-1</f>
        <v>0.61951349054599536</v>
      </c>
    </row>
    <row r="38" spans="1:11" x14ac:dyDescent="0.25">
      <c r="A38" s="20"/>
    </row>
    <row r="39" spans="1:11" x14ac:dyDescent="0.25">
      <c r="A39" s="20">
        <f>+A33+1</f>
        <v>5</v>
      </c>
      <c r="B39" s="21" t="s">
        <v>160</v>
      </c>
      <c r="F39" t="s">
        <v>161</v>
      </c>
      <c r="G39">
        <v>129.12</v>
      </c>
      <c r="H39" s="36" t="s">
        <v>162</v>
      </c>
    </row>
    <row r="40" spans="1:11" x14ac:dyDescent="0.25">
      <c r="A40" s="20">
        <f>+A39+0.1</f>
        <v>5.0999999999999996</v>
      </c>
      <c r="B40" s="1" t="s">
        <v>163</v>
      </c>
      <c r="C40" s="39">
        <f>'Financial Statements'!F72</f>
        <v>61.779904306220104</v>
      </c>
      <c r="D40" s="39">
        <f>'Financial Statements'!G72</f>
        <v>61.779904306220104</v>
      </c>
      <c r="E40" s="39">
        <f>'Financial Statements'!H72</f>
        <v>61.779904306220104</v>
      </c>
    </row>
    <row r="41" spans="1:11" x14ac:dyDescent="0.25">
      <c r="A41" s="20">
        <f t="shared" ref="A41:A44" si="4">+A40+0.1</f>
        <v>5.1999999999999993</v>
      </c>
      <c r="B41" s="17" t="s">
        <v>164</v>
      </c>
      <c r="C41" s="39">
        <f>'Financial Statements'!B26</f>
        <v>2.09</v>
      </c>
      <c r="D41" s="39">
        <f>'Financial Statements'!C26</f>
        <v>2.09</v>
      </c>
      <c r="E41" s="39">
        <f>'Financial Statements'!D26</f>
        <v>2.09</v>
      </c>
    </row>
    <row r="42" spans="1:11" x14ac:dyDescent="0.25">
      <c r="A42" s="20">
        <f t="shared" si="4"/>
        <v>5.2999999999999989</v>
      </c>
      <c r="B42" s="1" t="s">
        <v>165</v>
      </c>
      <c r="C42" s="39"/>
      <c r="D42" s="39">
        <f>'Financial Statements'!G73</f>
        <v>9.6164021845274696</v>
      </c>
      <c r="E42" s="39">
        <f>'Financial Statements'!H73</f>
        <v>9.0083309710153863</v>
      </c>
    </row>
    <row r="43" spans="1:11" x14ac:dyDescent="0.25">
      <c r="A43" s="20">
        <f t="shared" si="4"/>
        <v>5.3999999999999986</v>
      </c>
      <c r="B43" s="17" t="s">
        <v>166</v>
      </c>
      <c r="C43" s="39"/>
      <c r="D43" s="39">
        <f>'Financial Statements'!G74</f>
        <v>13.427059052059052</v>
      </c>
      <c r="E43" s="39">
        <f>'Financial Statements'!H74</f>
        <v>14.333398763372264</v>
      </c>
    </row>
    <row r="44" spans="1:11" x14ac:dyDescent="0.25">
      <c r="A44" s="20">
        <f t="shared" si="4"/>
        <v>5.4999999999999982</v>
      </c>
      <c r="B44" s="1" t="s">
        <v>167</v>
      </c>
    </row>
    <row r="45" spans="1:11" x14ac:dyDescent="0.25">
      <c r="A45" s="20"/>
      <c r="B45" s="17" t="s">
        <v>168</v>
      </c>
    </row>
    <row r="46" spans="1:11" x14ac:dyDescent="0.25">
      <c r="A46" s="20">
        <f>+A44+0.1</f>
        <v>5.5999999999999979</v>
      </c>
      <c r="B46" s="1" t="s">
        <v>169</v>
      </c>
    </row>
    <row r="47" spans="1:11" x14ac:dyDescent="0.25">
      <c r="A47" s="20">
        <f t="shared" ref="A47:A50" si="5">+A45+0.1</f>
        <v>0.1</v>
      </c>
      <c r="B47" s="1" t="s">
        <v>170</v>
      </c>
      <c r="D47" s="39">
        <f>'Financial Statements'!G75</f>
        <v>0.2413396506202756</v>
      </c>
      <c r="E47" s="39">
        <f>'Financial Statements'!H75</f>
        <v>-1.8638346240490815E-2</v>
      </c>
    </row>
    <row r="48" spans="1:11" x14ac:dyDescent="0.25">
      <c r="A48" s="20">
        <f t="shared" si="5"/>
        <v>5.6999999999999975</v>
      </c>
      <c r="B48" s="1" t="s">
        <v>171</v>
      </c>
      <c r="D48" s="39">
        <f>'Financial Statements'!G76</f>
        <v>0.17842760804111471</v>
      </c>
      <c r="E48" s="39">
        <f>'Financial Statements'!H76</f>
        <v>-1.2767773801203605E-2</v>
      </c>
    </row>
    <row r="49" spans="1:5" x14ac:dyDescent="0.25">
      <c r="A49" s="20">
        <f t="shared" si="5"/>
        <v>0.2</v>
      </c>
      <c r="B49" s="1" t="s">
        <v>158</v>
      </c>
      <c r="D49" s="39">
        <f>'Financial Statements'!G77</f>
        <v>7.9334393851846041E-2</v>
      </c>
      <c r="E49" s="39">
        <f>'Financial Statements'!H77</f>
        <v>-5.8831793375479545E-3</v>
      </c>
    </row>
    <row r="50" spans="1:5" x14ac:dyDescent="0.25">
      <c r="A50" s="20">
        <f t="shared" si="5"/>
        <v>5.7999999999999972</v>
      </c>
      <c r="B50" s="1" t="s">
        <v>172</v>
      </c>
      <c r="C50" s="39">
        <f>'Financial Statements'!F78</f>
        <v>-574.75589698821477</v>
      </c>
      <c r="D50" s="39">
        <f>'Financial Statements'!G78</f>
        <v>-140.45881515595562</v>
      </c>
      <c r="E50" s="39">
        <f>'Financial Statements'!H78</f>
        <v>-44.783664610925754</v>
      </c>
    </row>
    <row r="51" spans="1:5" x14ac:dyDescent="0.25">
      <c r="A51" s="20"/>
      <c r="B51" s="17" t="s">
        <v>173</v>
      </c>
      <c r="C51" s="39">
        <f>'Financial Statements'!F79</f>
        <v>1316765.76</v>
      </c>
      <c r="D51" s="39">
        <f>'Financial Statements'!G79</f>
        <v>1341943.52</v>
      </c>
      <c r="E51" s="39">
        <f>'Financial Statements'!H79</f>
        <v>1328865.68</v>
      </c>
    </row>
  </sheetData>
  <mergeCells count="1">
    <mergeCell ref="C2:E2"/>
  </mergeCells>
  <hyperlinks>
    <hyperlink ref="H39" r:id="rId1" xr:uid="{00000000-0004-0000-0200-000000000000}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Y 0 1 V 5 2 8 U U + m A A A A 9 w A A A B I A H A B D b 2 5 m a W c v U G F j a 2 F n Z S 5 4 b W w g o h g A K K A U A A A A A A A A A A A A A A A A A A A A A A A A A A A A h Y + 9 C s I w H M R f p W R v v u o g J U 1 B B x c L g i C u I c Y 2 2 P 4 r T W r 6 b g 4 + k q 9 g R a t u j n f 3 O 7 i 7 X 2 8 i H 5 o 6 u p j O 2 R Y y x D B F k Q H d H i y U G e r 9 M Z 6 j X I q N 0 i d V m m i E w a W D s x m q v D + n h I Q Q c E h w 2 5 W E U 8 r I v l h v d W U a F V t w X o E 2 6 N M 6 / G 8 h K X a v M Z J j x m a Y c 5 5 g K s j k i s L C l + D j 4 G f 6 Y 4 p l X / u + M 9 J A v F o I M k l B 3 i f k A 1 B L A w Q U A A I A C A B Z j T V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Y 0 1 V y i K R 7 g O A A A A E Q A A A B M A H A B G b 3 J t d W x h c y 9 T Z W N 0 a W 9 u M S 5 t I K I Y A C i g F A A A A A A A A A A A A A A A A A A A A A A A A A A A A C t O T S 7 J z M 9 T C I b Q h t Y A U E s B A i 0 A F A A C A A g A W Y 0 1 V 5 2 8 U U + m A A A A 9 w A A A B I A A A A A A A A A A A A A A A A A A A A A A E N v b m Z p Z y 9 Q Y W N r Y W d l L n h t b F B L A Q I t A B Q A A g A I A F m N N V c P y u m r p A A A A O k A A A A T A A A A A A A A A A A A A A A A A P I A A A B b Q 2 9 u d G V u d F 9 U e X B l c 1 0 u e G 1 s U E s B A i 0 A F A A C A A g A W Y 0 1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5 k + J I F X l Z J n T g Q s H / x R f c A A A A A A g A A A A A A A 2 Y A A M A A A A A Q A A A A n i d K + 1 E k P r 7 0 G W P + J 2 C 0 2 w A A A A A E g A A A o A A A A B A A A A B m T J r g / 4 R b V N W z u a G q H g D y U A A A A I T a S H M i m O X u p 0 h P 9 / e z / 6 f p h U G R j 3 e B W w k F 4 k e r C R 2 r t C E R 3 9 6 w J q S Y X 9 r C f I X q 5 0 R f q / N m k r G T s M Y x c 6 I 9 3 a s Z 9 l 9 v 1 Y D K 6 7 1 g Z / Z J + g 8 M F A A A A D Y v N l x A T F b C / j a R T b + R c G 6 4 Q G a 2 < / D a t a M a s h u p > 
</file>

<file path=customXml/itemProps1.xml><?xml version="1.0" encoding="utf-8"?>
<ds:datastoreItem xmlns:ds="http://schemas.openxmlformats.org/officeDocument/2006/customXml" ds:itemID="{6FE32364-0C3F-4CDC-8035-2439AAA8A16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Richard Horsley</cp:lastModifiedBy>
  <cp:revision/>
  <dcterms:created xsi:type="dcterms:W3CDTF">2023-09-26T11:40:07Z</dcterms:created>
  <dcterms:modified xsi:type="dcterms:W3CDTF">2023-09-26T11:57:02Z</dcterms:modified>
  <cp:category/>
  <cp:contentStatus/>
</cp:coreProperties>
</file>