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-38076" yWindow="-456" windowWidth="25956" windowHeight="17736" activeTab="2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" l="1"/>
  <c r="E18" i="3" s="1"/>
  <c r="D12" i="3"/>
  <c r="E12" i="3"/>
  <c r="C12" i="3"/>
  <c r="C11" i="3"/>
  <c r="D10" i="3"/>
  <c r="E10" i="3"/>
  <c r="C10" i="3"/>
  <c r="D11" i="3"/>
  <c r="E11" i="3"/>
  <c r="D8" i="3"/>
  <c r="E8" i="3"/>
  <c r="C8" i="3"/>
  <c r="D80" i="3"/>
  <c r="D79" i="3" s="1"/>
  <c r="E80" i="3"/>
  <c r="E79" i="3" s="1"/>
  <c r="C80" i="3"/>
  <c r="C79" i="3" s="1"/>
  <c r="D78" i="3"/>
  <c r="E78" i="3"/>
  <c r="C78" i="3"/>
  <c r="D69" i="3"/>
  <c r="E69" i="3"/>
  <c r="D70" i="3"/>
  <c r="E70" i="3"/>
  <c r="D71" i="3"/>
  <c r="E71" i="3"/>
  <c r="D72" i="3"/>
  <c r="E72" i="3"/>
  <c r="D73" i="3"/>
  <c r="E73" i="3"/>
  <c r="D74" i="3"/>
  <c r="E74" i="3"/>
  <c r="D75" i="3"/>
  <c r="E75" i="3"/>
  <c r="C75" i="3"/>
  <c r="C74" i="3"/>
  <c r="C73" i="3"/>
  <c r="C72" i="3"/>
  <c r="C71" i="3"/>
  <c r="C70" i="3"/>
  <c r="C69" i="3"/>
  <c r="D59" i="3"/>
  <c r="D60" i="3"/>
  <c r="D61" i="3"/>
  <c r="D62" i="3"/>
  <c r="D63" i="3"/>
  <c r="D64" i="3"/>
  <c r="D65" i="3"/>
  <c r="D66" i="3"/>
  <c r="C66" i="3"/>
  <c r="C64" i="3"/>
  <c r="C65" i="3"/>
  <c r="C63" i="3"/>
  <c r="C62" i="3"/>
  <c r="C61" i="3"/>
  <c r="C60" i="3"/>
  <c r="C59" i="3"/>
  <c r="D58" i="3"/>
  <c r="C58" i="3"/>
  <c r="D57" i="3"/>
  <c r="C57" i="3"/>
  <c r="C56" i="3"/>
  <c r="D56" i="3"/>
  <c r="D55" i="3"/>
  <c r="C55" i="3"/>
  <c r="D54" i="3"/>
  <c r="C54" i="3"/>
  <c r="D51" i="3"/>
  <c r="E51" i="3"/>
  <c r="C51" i="3"/>
  <c r="D49" i="3"/>
  <c r="E49" i="3"/>
  <c r="C49" i="3"/>
  <c r="D47" i="3"/>
  <c r="E47" i="3"/>
  <c r="C47" i="3"/>
  <c r="D45" i="3"/>
  <c r="D46" i="3" s="1"/>
  <c r="E45" i="3"/>
  <c r="C45" i="3"/>
  <c r="D43" i="3"/>
  <c r="D42" i="3" s="1"/>
  <c r="E43" i="3"/>
  <c r="E42" i="3" s="1"/>
  <c r="C43" i="3"/>
  <c r="C42" i="3" s="1"/>
  <c r="D41" i="3"/>
  <c r="D40" i="3" s="1"/>
  <c r="E41" i="3"/>
  <c r="E40" i="3" s="1"/>
  <c r="C41" i="3"/>
  <c r="C40" i="3" s="1"/>
  <c r="D37" i="3"/>
  <c r="E37" i="3"/>
  <c r="C37" i="3"/>
  <c r="D36" i="3"/>
  <c r="E36" i="3"/>
  <c r="C36" i="3"/>
  <c r="D35" i="3"/>
  <c r="E35" i="3"/>
  <c r="C35" i="3"/>
  <c r="D34" i="3"/>
  <c r="E34" i="3"/>
  <c r="C34" i="3"/>
  <c r="D29" i="3"/>
  <c r="E29" i="3"/>
  <c r="C29" i="3"/>
  <c r="D27" i="3"/>
  <c r="E27" i="3"/>
  <c r="C27" i="3"/>
  <c r="D26" i="3"/>
  <c r="E26" i="3"/>
  <c r="C26" i="3"/>
  <c r="D25" i="3"/>
  <c r="E25" i="3"/>
  <c r="C25" i="3"/>
  <c r="D22" i="3"/>
  <c r="E22" i="3"/>
  <c r="C22" i="3"/>
  <c r="D19" i="3"/>
  <c r="D18" i="3" s="1"/>
  <c r="C19" i="3"/>
  <c r="D21" i="3"/>
  <c r="D20" i="3" s="1"/>
  <c r="E21" i="3"/>
  <c r="E28" i="3" s="1"/>
  <c r="C21" i="3"/>
  <c r="C28" i="3" s="1"/>
  <c r="D17" i="3"/>
  <c r="E17" i="3"/>
  <c r="B13" i="1"/>
  <c r="C17" i="3"/>
  <c r="D14" i="3"/>
  <c r="E14" i="3"/>
  <c r="E13" i="3" s="1"/>
  <c r="C14" i="3"/>
  <c r="C13" i="3" s="1"/>
  <c r="D9" i="3"/>
  <c r="E9" i="3"/>
  <c r="C9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E81" i="3" l="1"/>
  <c r="D81" i="3"/>
  <c r="C81" i="3"/>
  <c r="E44" i="3"/>
  <c r="D31" i="3"/>
  <c r="D30" i="3" s="1"/>
  <c r="C50" i="3"/>
  <c r="E46" i="3"/>
  <c r="C48" i="3"/>
  <c r="E48" i="3"/>
  <c r="C20" i="3"/>
  <c r="C44" i="3"/>
  <c r="D44" i="3"/>
  <c r="E50" i="3"/>
  <c r="D50" i="3"/>
  <c r="D28" i="3"/>
  <c r="E20" i="3"/>
  <c r="C31" i="3"/>
  <c r="C30" i="3" s="1"/>
  <c r="C46" i="3"/>
  <c r="D48" i="3"/>
  <c r="D13" i="3"/>
  <c r="C18" i="3"/>
  <c r="D68" i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3" i="1"/>
  <c r="D18" i="1" s="1"/>
  <c r="D20" i="1" s="1"/>
  <c r="D22" i="1" s="1"/>
  <c r="D76" i="1" s="1"/>
  <c r="D91" i="1" s="1"/>
  <c r="D109" i="1" s="1"/>
  <c r="D12" i="1"/>
  <c r="C12" i="1"/>
  <c r="B12" i="1"/>
  <c r="D8" i="1"/>
  <c r="C8" i="1"/>
  <c r="C13" i="1" s="1"/>
  <c r="B8" i="1"/>
  <c r="E3" i="3"/>
  <c r="D3" i="3"/>
  <c r="C3" i="3"/>
  <c r="D33" i="1"/>
  <c r="D73" i="1" s="1"/>
  <c r="C33" i="1"/>
  <c r="C73" i="1" s="1"/>
  <c r="B33" i="1"/>
  <c r="B73" i="1" s="1"/>
  <c r="C18" i="1" l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4" i="3" s="1"/>
  <c r="A35" i="3" s="1"/>
  <c r="A36" i="3" s="1"/>
  <c r="A37" i="3" s="1"/>
  <c r="A39" i="3" l="1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<sst xmlns="http://schemas.openxmlformats.org/spreadsheetml/2006/main" count="273" uniqueCount="240">
  <si>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</si>
  <si>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</si>
  <si>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</si>
  <si>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</si>
  <si>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</si>
  <si>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</si>
  <si>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</si>
  <si>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</si>
  <si>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</si>
  <si>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</si>
  <si>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</si>
  <si>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</si>
  <si>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</si>
  <si>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</si>
  <si>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</si>
  <si>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</si>
  <si>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</si>
  <si>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</si>
  <si>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</si>
  <si>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</si>
  <si>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</si>
  <si>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</si>
  <si>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</si>
  <si>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</si>
  <si>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</si>
  <si>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</si>
  <si>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</si>
  <si>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</si>
  <si>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</si>
  <si>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</si>
  <si>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</si>
  <si>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</si>
  <si>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</si>
  <si>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</si>
  <si>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</si>
  <si>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</si>
  <si>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</si>
  <si>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</si>
  <si>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</si>
  <si>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</si>
  <si>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</si>
  <si>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</si>
  <si>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</si>
  <si>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</si>
  <si>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</si>
  <si>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</si>
  <si>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</si>
  <si>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</si>
  <si>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</si>
  <si>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</si>
  <si>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</si>
  <si>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</si>
  <si>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</si>
  <si>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</si>
  <si>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</si>
  <si>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</si>
  <si>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</si>
  <si>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</si>
  <si>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</si>
  <si>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</si>
  <si>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</si>
  <si>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</si>
  <si>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</si>
  <si>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</si>
  <si>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</si>
  <si>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</si>
  <si>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</si>
  <si>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</si>
  <si>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</si>
  <si>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</si>
  <si>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</si>
  <si>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</si>
  <si>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</si>
  <si>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</si>
  <si>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</si>
  <si>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</si>
  <si>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</si>
  <si>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</si>
  <si>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</si>
  <si>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</si>
  <si>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</si>
  <si>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</si>
  <si>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</si>
  <si>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</si>
  <si>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</si>
  <si>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</si>
  <si>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</si>
  <si>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</si>
  <si>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</si>
  <si>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</si>
  <si>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</si>
  <si>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</si>
  <si>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</si>
  <si>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</si>
  <si>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</si>
  <si>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</si>
  <si>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</si>
  <si>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</si>
  <si>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</si>
  <si>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</si>
  <si>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</si>
  <si>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</si>
  <si>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</si>
  <si>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</si>
  <si>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</si>
  <si>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</si>
  <si>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</si>
  <si>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</si>
  <si>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</si>
  <si>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</si>
  <si>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</si>
  <si>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</si>
  <si>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</si>
  <si>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</si>
  <si>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</si>
  <si>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</si>
  <si>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</si>
  <si>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</si>
  <si>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</si>
  <si>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</si>
  <si>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</si>
  <si>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</si>
  <si>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</si>
  <si>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</si>
  <si>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</si>
  <si>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</si>
  <si>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</si>
  <si>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</si>
  <si>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</si>
  <si>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</si>
  <si>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</si>
  <si>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</si>
  <si>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</si>
  <si>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</si>
  <si>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</si>
  <si>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</si>
  <si>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</si>
  <si>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</si>
  <si>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</si>
  <si>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</si>
  <si>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</si>
  <si>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</si>
  <si>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</si>
  <si>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</si>
  <si>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</si>
  <si>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</si>
  <si>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</si>
  <si>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</si>
  <si>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</si>
  <si>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</si>
  <si>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TCA/TCL</t>
  </si>
  <si>
    <t>(TCA-Inv)/TCL</t>
  </si>
  <si>
    <t>Cash+Cash Equ/TCL</t>
  </si>
  <si>
    <t>365*Inv/COPS</t>
  </si>
  <si>
    <t>CA-CL</t>
  </si>
  <si>
    <t>Rev-COGS/Rev</t>
  </si>
  <si>
    <t>EBITDA/Rev</t>
  </si>
  <si>
    <t>EBIT+D&amp;A</t>
  </si>
  <si>
    <t>EBIT/Rev</t>
  </si>
  <si>
    <t>OP</t>
  </si>
  <si>
    <t>NI/Rev</t>
  </si>
  <si>
    <t>TD/TE</t>
  </si>
  <si>
    <t>TD/TA</t>
  </si>
  <si>
    <t>NCD/(TD+TE)</t>
  </si>
  <si>
    <t>EBIT/Int Exp</t>
  </si>
  <si>
    <t>NOI/TD</t>
  </si>
  <si>
    <t>NI+D&amp;A-change WC-CapEx+ND</t>
  </si>
  <si>
    <t>COPS/Inv</t>
  </si>
  <si>
    <t>NI/TA</t>
  </si>
  <si>
    <t>PPS/EPS</t>
  </si>
  <si>
    <t>PPS</t>
  </si>
  <si>
    <t>USD</t>
  </si>
  <si>
    <t>TCE/No. Basic shares</t>
  </si>
  <si>
    <t>PPS/BV</t>
  </si>
  <si>
    <t>Div/No. Basic Shares</t>
  </si>
  <si>
    <t>DPS/PPS</t>
  </si>
  <si>
    <t>DPS/EPS</t>
  </si>
  <si>
    <t>NI/TE</t>
  </si>
  <si>
    <t>EBIT/(TA-TL)</t>
  </si>
  <si>
    <t>TE+TD-Cash</t>
  </si>
  <si>
    <t>EV/EBITDA</t>
  </si>
  <si>
    <t>FCFE/No. Basic Shares</t>
  </si>
  <si>
    <t>Growth</t>
  </si>
  <si>
    <t>Net Sales</t>
  </si>
  <si>
    <t>Gross Profit</t>
  </si>
  <si>
    <t>Total Current Assest</t>
  </si>
  <si>
    <t>Total Non-Current Assests</t>
  </si>
  <si>
    <t>Total Assests</t>
  </si>
  <si>
    <t>Total Current Liabilities</t>
  </si>
  <si>
    <t>Total Non-Current Liabilities</t>
  </si>
  <si>
    <t>Total Liabilities</t>
  </si>
  <si>
    <t>Total Operating Expense</t>
  </si>
  <si>
    <t>(Current-Previous)/Previous</t>
  </si>
  <si>
    <t>COGS</t>
  </si>
  <si>
    <t>SG&amp;A</t>
  </si>
  <si>
    <t>R&amp;D</t>
  </si>
  <si>
    <t>Oper Income</t>
  </si>
  <si>
    <t>Net Profit</t>
  </si>
  <si>
    <t>Oper Exp</t>
  </si>
  <si>
    <t>Additional</t>
  </si>
  <si>
    <t>Margin as % of Sales</t>
  </si>
  <si>
    <t>Tax/Income before Tax</t>
  </si>
  <si>
    <t>CapEx</t>
  </si>
  <si>
    <t>(-Acq of PPE) + D&amp;A</t>
  </si>
  <si>
    <t>(Inv+Cash&amp;Equiv)/(Oper Exp/365)</t>
  </si>
  <si>
    <t>(365*Inv/COPS)+(365*Reciev/TNS)</t>
  </si>
  <si>
    <t>TCA</t>
  </si>
  <si>
    <t>TCL</t>
  </si>
  <si>
    <t>COPS</t>
  </si>
  <si>
    <t>TNS</t>
  </si>
  <si>
    <t>CA</t>
  </si>
  <si>
    <t>CL</t>
  </si>
  <si>
    <t>TD</t>
  </si>
  <si>
    <t>TE</t>
  </si>
  <si>
    <t>Total Cur-Asset</t>
  </si>
  <si>
    <t>Total Cir-Liab</t>
  </si>
  <si>
    <t>Cost of Products Sold</t>
  </si>
  <si>
    <t>Cost of Goods Sold</t>
  </si>
  <si>
    <t>Total Net Sales</t>
  </si>
  <si>
    <t>Current Assets</t>
  </si>
  <si>
    <t>Current Liabilities</t>
  </si>
  <si>
    <t>Total Equity</t>
  </si>
  <si>
    <t>Total Debt</t>
  </si>
  <si>
    <t>TNS/TA</t>
  </si>
  <si>
    <t>TNS/PPE</t>
  </si>
  <si>
    <t>365*PAYABLES/TNS</t>
  </si>
  <si>
    <t>365*Recievables/TNS</t>
  </si>
  <si>
    <t>Daily Operational Expenses = (Annual Operating Expenses - Noncash Charges) / 365</t>
  </si>
  <si>
    <t>(Accounts Payable / COGS) x 365</t>
  </si>
  <si>
    <t>Inventory Days + Receivable Days - Payable Days</t>
  </si>
  <si>
    <t>Remove Financial Statements Row 55 from Denominator</t>
  </si>
  <si>
    <t>Net Operating Income/ (Interest + Debt repayment) can be found in cash flow statement</t>
  </si>
  <si>
    <t>Link Diluted EPS instead of basic</t>
  </si>
  <si>
    <t>Should be linked to Total shareholder equity and divide by diluted number of shares</t>
  </si>
  <si>
    <t>Divide by diluted number of shares</t>
  </si>
  <si>
    <t>Capital employed = Term Debt + Total shareholder equity</t>
  </si>
  <si>
    <t>Remove D&amp;A, Capex is only the purchase of PPE</t>
  </si>
  <si>
    <t>Cash from operations - Capex + Net debt issued (Capex = Purchase of PPE in cash flow statement, and debt issued also can be found in cash flow statement)</t>
  </si>
  <si>
    <t>Market Cap (Share price * Diluted number of shares)+ Total Debt - (Cash + Cash Equivalents)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</si>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</sst>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0"/>
    <numFmt numFmtId="168" formatCode="0.0000"/>
    <numFmt numFmtId="169" formatCode="0.000"/>
    <numFmt numFmtId="170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quotePrefix="1" applyAlignment="1">
      <alignment horizontal="right"/>
    </xf>
    <xf numFmtId="0" fontId="3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10" fontId="0" fillId="0" borderId="0" xfId="3" applyNumberFormat="1" applyFont="1"/>
    <xf numFmtId="14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0" fillId="0" borderId="0" xfId="0" applyNumberFormat="1"/>
    <xf numFmtId="170" fontId="0" fillId="0" borderId="0" xfId="3" applyNumberFormat="1" applyFont="1"/>
    <xf numFmtId="0" fontId="8" fillId="2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zoomScale="125" workbookViewId="0">
      <selection activeCell="A22" sqref="A22:A24"/>
    </sheetView>
  </sheetViews>
  <sheetFormatPr defaultColWidth="8.77734375" defaultRowHeight="14.4" x14ac:dyDescent="0.3"/>
  <cols>
    <col min="1" max="1" width="104.4414062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68" zoomScaleNormal="100" workbookViewId="0">
      <selection activeCell="D96" sqref="D96"/>
    </sheetView>
  </sheetViews>
  <sheetFormatPr defaultColWidth="8.77734375" defaultRowHeight="14.4" x14ac:dyDescent="0.3"/>
  <cols>
    <col min="1" max="1" width="59" customWidth="1"/>
    <col min="2" max="3" width="11.4414062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4" t="s">
        <v>1</v>
      </c>
      <c r="B2" s="34"/>
      <c r="C2" s="34"/>
      <c r="D2" s="34"/>
    </row>
    <row r="3" spans="1:10" x14ac:dyDescent="0.3">
      <c r="B3" s="33" t="s">
        <v>23</v>
      </c>
      <c r="C3" s="33"/>
      <c r="D3" s="33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34" t="s">
        <v>24</v>
      </c>
      <c r="B31" s="34"/>
      <c r="C31" s="34"/>
      <c r="D31" s="34"/>
    </row>
    <row r="32" spans="1:4" x14ac:dyDescent="0.3">
      <c r="B32" s="33" t="s">
        <v>142</v>
      </c>
      <c r="C32" s="33"/>
      <c r="D32" s="33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34" t="s">
        <v>55</v>
      </c>
      <c r="B71" s="34"/>
      <c r="C71" s="34"/>
      <c r="D71" s="34"/>
    </row>
    <row r="72" spans="1:4" x14ac:dyDescent="0.3">
      <c r="B72" s="33" t="s">
        <v>23</v>
      </c>
      <c r="C72" s="33"/>
      <c r="D72" s="33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zoomScaleNormal="100" workbookViewId="0">
      <selection activeCell="F1" sqref="F1"/>
    </sheetView>
  </sheetViews>
  <sheetFormatPr defaultColWidth="8.77734375" defaultRowHeight="14.4" x14ac:dyDescent="0.3"/>
  <cols>
    <col min="1" max="1" width="4.6640625" customWidth="1"/>
    <col min="2" max="2" width="44.77734375" customWidth="1"/>
    <col min="3" max="5" width="12.109375" bestFit="1" customWidth="1"/>
    <col min="6" max="6" width="26.44140625" customWidth="1"/>
    <col min="7" max="7" width="12.109375" customWidth="1"/>
    <col min="8" max="8" width="32.6640625" style="26" customWidth="1"/>
    <col min="10" max="10" width="10.44140625" bestFit="1" customWidth="1"/>
  </cols>
  <sheetData>
    <row r="1" spans="1:12" ht="60" customHeight="1" x14ac:dyDescent="0.5">
      <c r="A1" s="6"/>
      <c r="B1" s="20" t="s">
        <v>0</v>
      </c>
      <c r="C1" s="19"/>
      <c r="D1" s="19"/>
      <c r="E1" s="19"/>
      <c r="F1" s="37" t="s">
        <v>239</v>
      </c>
      <c r="G1" s="19"/>
      <c r="H1" s="25"/>
      <c r="I1" s="19"/>
      <c r="J1" s="19"/>
      <c r="K1" s="19"/>
      <c r="L1" s="19"/>
    </row>
    <row r="2" spans="1:12" x14ac:dyDescent="0.3">
      <c r="C2" s="33" t="s">
        <v>23</v>
      </c>
      <c r="D2" s="33"/>
      <c r="E2" s="33"/>
      <c r="F2" s="23"/>
      <c r="G2" s="23"/>
    </row>
    <row r="3" spans="1:12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  <c r="G3" s="7"/>
      <c r="J3" t="s">
        <v>206</v>
      </c>
      <c r="K3" t="s">
        <v>214</v>
      </c>
    </row>
    <row r="4" spans="1:12" x14ac:dyDescent="0.3">
      <c r="A4" s="18">
        <v>1</v>
      </c>
      <c r="B4" s="7" t="s">
        <v>99</v>
      </c>
      <c r="J4" t="s">
        <v>207</v>
      </c>
      <c r="K4" t="s">
        <v>215</v>
      </c>
    </row>
    <row r="5" spans="1:12" x14ac:dyDescent="0.3">
      <c r="A5" s="18">
        <f>+A4+0.1</f>
        <v>1.1000000000000001</v>
      </c>
      <c r="B5" s="1" t="s">
        <v>100</v>
      </c>
      <c r="C5" s="35">
        <f>'Financial Statements'!B42/'Financial Statements'!B56</f>
        <v>0.87935602862672257</v>
      </c>
      <c r="D5" s="35">
        <f>'Financial Statements'!C42/'Financial Statements'!C56</f>
        <v>1.0745531195957954</v>
      </c>
      <c r="E5" s="35">
        <f>'Financial Statements'!D42/'Financial Statements'!D56</f>
        <v>1.3636044481554577</v>
      </c>
      <c r="F5" s="31"/>
      <c r="G5" s="31"/>
      <c r="H5" s="24" t="s">
        <v>150</v>
      </c>
      <c r="J5" t="s">
        <v>208</v>
      </c>
      <c r="K5" t="s">
        <v>216</v>
      </c>
    </row>
    <row r="6" spans="1:12" x14ac:dyDescent="0.3">
      <c r="A6" s="18">
        <f t="shared" ref="A6:A13" si="0">+A5+0.1</f>
        <v>1.2000000000000002</v>
      </c>
      <c r="B6" s="1" t="s">
        <v>101</v>
      </c>
      <c r="C6" s="35">
        <f>('Financial Statements'!B42-'Financial Statements'!B39)/'Financial Statements'!B56</f>
        <v>0.84723539114961488</v>
      </c>
      <c r="D6" s="35">
        <f>('Financial Statements'!C42-'Financial Statements'!C39)/'Financial Statements'!C56</f>
        <v>1.0221149018576519</v>
      </c>
      <c r="E6" s="35">
        <f>('Financial Statements'!D42-'Financial Statements'!D39)/'Financial Statements'!D56</f>
        <v>1.325072111735236</v>
      </c>
      <c r="F6" s="31"/>
      <c r="G6" s="31"/>
      <c r="H6" s="26" t="s">
        <v>151</v>
      </c>
      <c r="J6" t="s">
        <v>193</v>
      </c>
      <c r="K6" t="s">
        <v>217</v>
      </c>
    </row>
    <row r="7" spans="1:12" x14ac:dyDescent="0.3">
      <c r="A7" s="18">
        <f t="shared" si="0"/>
        <v>1.3000000000000003</v>
      </c>
      <c r="B7" s="1" t="s">
        <v>102</v>
      </c>
      <c r="C7" s="35">
        <f>'Financial Statements'!B36/'Financial Statements'!B56</f>
        <v>0.15356340351469652</v>
      </c>
      <c r="D7" s="35">
        <f>'Financial Statements'!C36/'Financial Statements'!C56</f>
        <v>0.27844853005634318</v>
      </c>
      <c r="E7" s="35">
        <f>'Financial Statements'!D36/'Financial Statements'!D56</f>
        <v>0.36071049035979963</v>
      </c>
      <c r="F7" s="31"/>
      <c r="G7" s="31"/>
      <c r="H7" s="26" t="s">
        <v>152</v>
      </c>
      <c r="J7" t="s">
        <v>209</v>
      </c>
      <c r="K7" t="s">
        <v>218</v>
      </c>
    </row>
    <row r="8" spans="1:12" x14ac:dyDescent="0.3">
      <c r="A8" s="18">
        <f t="shared" si="0"/>
        <v>1.4000000000000004</v>
      </c>
      <c r="B8" s="1" t="s">
        <v>103</v>
      </c>
      <c r="C8" s="35">
        <f>('Financial Statements'!B39+'Financial Statements'!B36)/('Financial Statements'!B17/365)</f>
        <v>203.25406563443372</v>
      </c>
      <c r="D8" s="35">
        <f>('Financial Statements'!C39+'Financial Statements'!C36)/('Financial Statements'!C17/365)</f>
        <v>345.3141021259143</v>
      </c>
      <c r="E8" s="35">
        <f>('Financial Statements'!D39+'Financial Statements'!D36)/('Financial Statements'!D17/365)</f>
        <v>397.17867487328027</v>
      </c>
      <c r="F8" s="31" t="s">
        <v>227</v>
      </c>
      <c r="G8" s="31"/>
      <c r="H8" s="26" t="s">
        <v>204</v>
      </c>
      <c r="J8" t="s">
        <v>210</v>
      </c>
      <c r="K8" t="s">
        <v>219</v>
      </c>
    </row>
    <row r="9" spans="1:12" x14ac:dyDescent="0.3">
      <c r="A9" s="18">
        <f t="shared" si="0"/>
        <v>1.5000000000000004</v>
      </c>
      <c r="B9" s="1" t="s">
        <v>104</v>
      </c>
      <c r="C9" s="35">
        <f>365*('Financial Statements'!B39/'Financial Statements'!B10)</f>
        <v>8.96054519012662</v>
      </c>
      <c r="D9" s="35">
        <f>365*('Financial Statements'!C39/'Financial Statements'!C10)</f>
        <v>12.491548167642746</v>
      </c>
      <c r="E9" s="35">
        <f>365*('Financial Statements'!D39/'Financial Statements'!D10)</f>
        <v>9.797767143027114</v>
      </c>
      <c r="F9" s="31"/>
      <c r="G9" s="31"/>
      <c r="H9" s="26" t="s">
        <v>153</v>
      </c>
      <c r="J9" t="s">
        <v>211</v>
      </c>
      <c r="K9" t="s">
        <v>220</v>
      </c>
    </row>
    <row r="10" spans="1:12" x14ac:dyDescent="0.3">
      <c r="A10" s="18">
        <f t="shared" si="0"/>
        <v>1.6000000000000005</v>
      </c>
      <c r="B10" s="1" t="s">
        <v>105</v>
      </c>
      <c r="C10" s="35">
        <f>365*'Financial Statements'!B51/'Financial Statements'!B8</f>
        <v>59.346470450995113</v>
      </c>
      <c r="D10" s="35">
        <f>365*'Financial Statements'!C51/'Financial Statements'!C8</f>
        <v>54.640694664272026</v>
      </c>
      <c r="E10" s="35">
        <f>365*'Financial Statements'!D51/'Financial Statements'!D8</f>
        <v>56.237509789993261</v>
      </c>
      <c r="F10" t="s">
        <v>228</v>
      </c>
      <c r="G10" s="30"/>
      <c r="H10" s="26" t="s">
        <v>225</v>
      </c>
      <c r="J10" t="s">
        <v>213</v>
      </c>
      <c r="K10" t="s">
        <v>221</v>
      </c>
    </row>
    <row r="11" spans="1:12" x14ac:dyDescent="0.3">
      <c r="A11" s="18">
        <f t="shared" si="0"/>
        <v>1.7000000000000006</v>
      </c>
      <c r="B11" s="1" t="s">
        <v>106</v>
      </c>
      <c r="C11" s="35">
        <f>365*('Financial Statements'!B38)/'Financial Statements'!B8</f>
        <v>26.087825363656652</v>
      </c>
      <c r="D11" s="35">
        <f>365*'Financial Statements'!C38/'Financial Statements'!C8</f>
        <v>26.219311841713207</v>
      </c>
      <c r="E11" s="35">
        <f>365*'Financial Statements'!D38/'Financial Statements'!D8</f>
        <v>21.433437152796749</v>
      </c>
      <c r="F11" s="30"/>
      <c r="G11" s="30"/>
      <c r="H11" s="26" t="s">
        <v>226</v>
      </c>
      <c r="J11" t="s">
        <v>212</v>
      </c>
      <c r="K11" t="s">
        <v>222</v>
      </c>
    </row>
    <row r="12" spans="1:12" x14ac:dyDescent="0.3">
      <c r="A12" s="18">
        <f t="shared" si="0"/>
        <v>1.8000000000000007</v>
      </c>
      <c r="B12" s="1" t="s">
        <v>107</v>
      </c>
      <c r="C12" s="35">
        <f>(365*'Financial Statements'!B39/'Financial Statements'!B6)+(365*'Financial Statements'!B38/'Financial Statements'!B8)</f>
        <v>31.79717295805132</v>
      </c>
      <c r="D12" s="35">
        <f>(365*'Financial Statements'!C39/'Financial Statements'!C6)+(365*'Financial Statements'!C38/'Financial Statements'!C8)</f>
        <v>34.295184763647896</v>
      </c>
      <c r="E12" s="35">
        <f>(365*'Financial Statements'!D39/'Financial Statements'!D6)+(365*'Financial Statements'!D38/'Financial Statements'!D8)</f>
        <v>28.148205643421761</v>
      </c>
      <c r="F12" t="s">
        <v>229</v>
      </c>
      <c r="G12" s="29"/>
      <c r="H12" s="26" t="s">
        <v>205</v>
      </c>
    </row>
    <row r="13" spans="1:12" x14ac:dyDescent="0.3">
      <c r="A13" s="18">
        <f t="shared" si="0"/>
        <v>1.9000000000000008</v>
      </c>
      <c r="B13" s="1" t="s">
        <v>108</v>
      </c>
      <c r="C13" s="27">
        <f>C14/'Financial Statements'!B8</f>
        <v>-4.711052727678481E-2</v>
      </c>
      <c r="D13" s="27">
        <f>D14/'Financial Statements'!C8</f>
        <v>2.557289573748623E-2</v>
      </c>
      <c r="E13" s="27">
        <f>E14/'Financial Statements'!D8</f>
        <v>0.13959528623208203</v>
      </c>
      <c r="F13" s="27"/>
      <c r="G13" s="27"/>
    </row>
    <row r="14" spans="1:12" x14ac:dyDescent="0.3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  <c r="H14" s="26" t="s">
        <v>154</v>
      </c>
    </row>
    <row r="15" spans="1:12" x14ac:dyDescent="0.3">
      <c r="A15" s="18"/>
    </row>
    <row r="16" spans="1:12" x14ac:dyDescent="0.3">
      <c r="A16" s="18">
        <f>+A4+1</f>
        <v>2</v>
      </c>
      <c r="B16" s="17" t="s">
        <v>110</v>
      </c>
    </row>
    <row r="17" spans="1:8" x14ac:dyDescent="0.3">
      <c r="A17" s="18">
        <f>+A16+0.1</f>
        <v>2.1</v>
      </c>
      <c r="B17" s="1" t="s">
        <v>9</v>
      </c>
      <c r="C17" s="36">
        <f>('Financial Statements'!B8-'Financial Statements'!B12)/'Financial Statements'!B8</f>
        <v>0.43309630561360085</v>
      </c>
      <c r="D17" s="36">
        <f>('Financial Statements'!C8-'Financial Statements'!C12)/'Financial Statements'!C8</f>
        <v>0.41779359625167778</v>
      </c>
      <c r="E17" s="36">
        <f>('Financial Statements'!D8-'Financial Statements'!D12)/'Financial Statements'!D8</f>
        <v>0.38233247727810865</v>
      </c>
      <c r="F17" s="30"/>
      <c r="G17" s="30"/>
      <c r="H17" s="26" t="s">
        <v>155</v>
      </c>
    </row>
    <row r="18" spans="1:8" x14ac:dyDescent="0.3">
      <c r="A18" s="18">
        <f>+A17+0.1</f>
        <v>2.2000000000000002</v>
      </c>
      <c r="B18" s="1" t="s">
        <v>111</v>
      </c>
      <c r="C18" s="36">
        <f>C19/'Financial Statements'!B8</f>
        <v>0.3310467428130896</v>
      </c>
      <c r="D18" s="36">
        <f>D19/'Financial Statements'!C8</f>
        <v>0.32866979938056462</v>
      </c>
      <c r="E18" s="36">
        <f>E19/'Financial Statements'!D8</f>
        <v>0.2817478097736007</v>
      </c>
      <c r="F18" s="30"/>
      <c r="G18" s="30"/>
      <c r="H18" s="26" t="s">
        <v>156</v>
      </c>
    </row>
    <row r="19" spans="1:8" x14ac:dyDescent="0.3">
      <c r="A19" s="18"/>
      <c r="B19" s="3" t="s">
        <v>112</v>
      </c>
      <c r="C19" s="32">
        <f>('Financial Statements'!B79+'Financial Statements'!B18)</f>
        <v>130541</v>
      </c>
      <c r="D19" s="32">
        <f>('Financial Statements'!C79+'Financial Statements'!C18)</f>
        <v>120233</v>
      </c>
      <c r="E19" s="32">
        <f>('Financial Statements'!D79+'Financial Statements'!D18)</f>
        <v>77344</v>
      </c>
      <c r="F19" s="32"/>
      <c r="G19" s="32"/>
      <c r="H19" s="26" t="s">
        <v>157</v>
      </c>
    </row>
    <row r="20" spans="1:8" x14ac:dyDescent="0.3">
      <c r="A20" s="18">
        <f>+A18+0.1</f>
        <v>2.3000000000000003</v>
      </c>
      <c r="B20" s="1" t="s">
        <v>113</v>
      </c>
      <c r="C20" s="36">
        <f>C21/'Financial Statements'!B8</f>
        <v>0.30288744395528594</v>
      </c>
      <c r="D20" s="36">
        <f>D21/'Financial Statements'!C8</f>
        <v>0.29782377527561593</v>
      </c>
      <c r="E20" s="36">
        <f>E21/'Financial Statements'!D8</f>
        <v>0.24147314354406862</v>
      </c>
      <c r="F20" s="30"/>
      <c r="G20" s="30"/>
      <c r="H20" s="26" t="s">
        <v>158</v>
      </c>
    </row>
    <row r="21" spans="1:8" x14ac:dyDescent="0.3">
      <c r="A21" s="18"/>
      <c r="B21" s="3" t="s">
        <v>114</v>
      </c>
      <c r="C21" s="32">
        <f>'Financial Statements'!B18</f>
        <v>119437</v>
      </c>
      <c r="D21" s="32">
        <f>'Financial Statements'!C18</f>
        <v>108949</v>
      </c>
      <c r="E21" s="32">
        <f>'Financial Statements'!D18</f>
        <v>66288</v>
      </c>
      <c r="F21" s="32"/>
      <c r="G21" s="32"/>
      <c r="H21" s="26" t="s">
        <v>159</v>
      </c>
    </row>
    <row r="22" spans="1:8" x14ac:dyDescent="0.3">
      <c r="A22" s="18">
        <f>+A20+0.1</f>
        <v>2.4000000000000004</v>
      </c>
      <c r="B22" s="1" t="s">
        <v>115</v>
      </c>
      <c r="C22" s="36">
        <f>'Financial Statements'!B22/'Financial Statements'!B8</f>
        <v>0.25309640705199732</v>
      </c>
      <c r="D22" s="36">
        <f>'Financial Statements'!C22/'Financial Statements'!C8</f>
        <v>0.25881793355694238</v>
      </c>
      <c r="E22" s="36">
        <f>'Financial Statements'!D22/'Financial Statements'!D8</f>
        <v>0.20913611278072236</v>
      </c>
      <c r="F22" s="30"/>
      <c r="G22" s="30"/>
      <c r="H22" s="26" t="s">
        <v>160</v>
      </c>
    </row>
    <row r="23" spans="1:8" x14ac:dyDescent="0.3">
      <c r="A23" s="18"/>
    </row>
    <row r="24" spans="1:8" x14ac:dyDescent="0.3">
      <c r="A24" s="18">
        <f>+A16+1</f>
        <v>3</v>
      </c>
      <c r="B24" s="7" t="s">
        <v>116</v>
      </c>
    </row>
    <row r="25" spans="1:8" x14ac:dyDescent="0.3">
      <c r="A25" s="18">
        <f>+A24+0.1</f>
        <v>3.1</v>
      </c>
      <c r="B25" s="1" t="s">
        <v>117</v>
      </c>
      <c r="C25" s="35">
        <f>('Financial Statements'!B59+'Financial Statements'!B55)/'Financial Statements'!B68</f>
        <v>2.1725410483107042</v>
      </c>
      <c r="D25" s="35">
        <f>('Financial Statements'!C59+'Financial Statements'!C55)/'Financial Statements'!C68</f>
        <v>1.8817403708987162</v>
      </c>
      <c r="E25" s="35">
        <f>('Financial Statements'!D59+'Financial Statements'!D55)/'Financial Statements'!D68</f>
        <v>1.6443471739696047</v>
      </c>
      <c r="F25" s="30"/>
      <c r="G25" s="30"/>
      <c r="H25" s="26" t="s">
        <v>161</v>
      </c>
    </row>
    <row r="26" spans="1:8" x14ac:dyDescent="0.3">
      <c r="A26" s="18">
        <f t="shared" ref="A26:A30" si="1">+A25+0.1</f>
        <v>3.2</v>
      </c>
      <c r="B26" s="1" t="s">
        <v>118</v>
      </c>
      <c r="C26" s="35">
        <f>('Financial Statements'!B55+'Financial Statements'!B59)/'Financial Statements'!B48</f>
        <v>0.31207778769967826</v>
      </c>
      <c r="D26" s="35">
        <f>('Financial Statements'!C55+'Financial Statements'!C59)/'Financial Statements'!C48</f>
        <v>0.33822884200090025</v>
      </c>
      <c r="E26" s="35">
        <f>('Financial Statements'!D55+'Financial Statements'!D59)/'Financial Statements'!D48</f>
        <v>0.33171960677765155</v>
      </c>
      <c r="F26" s="30"/>
      <c r="G26" s="30"/>
      <c r="H26" s="26" t="s">
        <v>162</v>
      </c>
    </row>
    <row r="27" spans="1:8" x14ac:dyDescent="0.3">
      <c r="A27" s="18">
        <f t="shared" si="1"/>
        <v>3.3000000000000003</v>
      </c>
      <c r="B27" s="1" t="s">
        <v>119</v>
      </c>
      <c r="C27" s="35">
        <f>'Financial Statements'!B59/('Financial Statements'!B59+'Financial Statements'!B55+'Financial Statements'!B68)</f>
        <v>0.61557362262766002</v>
      </c>
      <c r="D27" s="35">
        <f>'Financial Statements'!C59/('Financial Statements'!C59+'Financial Statements'!C55+'Financial Statements'!C68)</f>
        <v>0.60011330572193899</v>
      </c>
      <c r="E27" s="35">
        <f>'Financial Statements'!D59/('Financial Statements'!D59+'Financial Statements'!D55+'Financial Statements'!D68)</f>
        <v>0.57105898286250067</v>
      </c>
      <c r="F27" s="30" t="s">
        <v>230</v>
      </c>
      <c r="G27" s="30"/>
      <c r="H27" s="26" t="s">
        <v>163</v>
      </c>
    </row>
    <row r="28" spans="1:8" x14ac:dyDescent="0.3">
      <c r="A28" s="18">
        <f t="shared" si="1"/>
        <v>3.4000000000000004</v>
      </c>
      <c r="B28" s="1" t="s">
        <v>120</v>
      </c>
      <c r="C28" s="35">
        <f>C21/'Financial Statements'!B114</f>
        <v>41.68830715532286</v>
      </c>
      <c r="D28" s="35">
        <f>D21/'Financial Statements'!C114</f>
        <v>40.546706363974693</v>
      </c>
      <c r="E28" s="35">
        <f>E21/'Financial Statements'!D114</f>
        <v>22.081279147235175</v>
      </c>
      <c r="F28" s="30"/>
      <c r="G28" s="30"/>
      <c r="H28" s="26" t="s">
        <v>164</v>
      </c>
    </row>
    <row r="29" spans="1:8" x14ac:dyDescent="0.3">
      <c r="A29" s="18">
        <f t="shared" si="1"/>
        <v>3.5000000000000004</v>
      </c>
      <c r="B29" s="1" t="s">
        <v>121</v>
      </c>
      <c r="C29" s="35">
        <f>'Financial Statements'!B18/('Financial Statements'!B55+'Financial Statements'!B59)</f>
        <v>1.0849328258559139</v>
      </c>
      <c r="D29" s="35">
        <f>'Financial Statements'!C18/('Financial Statements'!C55+'Financial Statements'!C59)</f>
        <v>0.91770483241941059</v>
      </c>
      <c r="E29" s="35">
        <f>'Financial Statements'!D18/('Financial Statements'!D55+'Financial Statements'!D59)</f>
        <v>0.61697691734921822</v>
      </c>
      <c r="F29" t="s">
        <v>231</v>
      </c>
      <c r="G29" s="30"/>
      <c r="H29" s="26" t="s">
        <v>165</v>
      </c>
    </row>
    <row r="30" spans="1:8" x14ac:dyDescent="0.3">
      <c r="A30" s="18">
        <f t="shared" si="1"/>
        <v>3.6000000000000005</v>
      </c>
      <c r="B30" s="1" t="s">
        <v>122</v>
      </c>
      <c r="C30" s="35">
        <f>(C31*10^6)/('Financial Statements'!B27*10^3)</f>
        <v>13.042641994188072</v>
      </c>
      <c r="D30" s="35">
        <f>(D31*10^6)/('Financial Statements'!C27*10^3)</f>
        <v>12.259605136662644</v>
      </c>
      <c r="E30" s="35"/>
      <c r="F30" s="30"/>
      <c r="G30" s="30"/>
      <c r="H30" s="26" t="s">
        <v>181</v>
      </c>
    </row>
    <row r="31" spans="1:8" x14ac:dyDescent="0.3">
      <c r="A31" s="18"/>
      <c r="B31" s="3" t="s">
        <v>123</v>
      </c>
      <c r="C31">
        <f>'Financial Statements'!B22+'Financial Statements'!B79-('List of Ratios'!C14-'List of Ratios'!D14)-('Financial Statements'!B45-'Financial Statements'!C45+'Financial Statements'!B79)+('Financial Statements'!B55+'Financial Statements'!B59-'Financial Statements'!B36)</f>
        <v>211499</v>
      </c>
      <c r="D31">
        <f>'Financial Statements'!C22+'Financial Statements'!C79-('List of Ratios'!D14-'List of Ratios'!E14)-('Financial Statements'!C45-'Financial Statements'!D45+'Financial Statements'!C79)+('Financial Statements'!C55+'Financial Statements'!C59-'Financial Statements'!C36)</f>
        <v>204751</v>
      </c>
      <c r="F31" t="s">
        <v>237</v>
      </c>
      <c r="H31" s="26" t="s">
        <v>166</v>
      </c>
    </row>
    <row r="32" spans="1:8" x14ac:dyDescent="0.3">
      <c r="A32" s="18"/>
    </row>
    <row r="33" spans="1:12" x14ac:dyDescent="0.3">
      <c r="A33" s="18">
        <f>+A24+1</f>
        <v>4</v>
      </c>
      <c r="B33" s="17" t="s">
        <v>124</v>
      </c>
    </row>
    <row r="34" spans="1:12" x14ac:dyDescent="0.3">
      <c r="A34" s="18">
        <f>+A33+0.1</f>
        <v>4.0999999999999996</v>
      </c>
      <c r="B34" s="1" t="s">
        <v>125</v>
      </c>
      <c r="C34" s="35">
        <f>'Financial Statements'!B8/'Financial Statements'!B48</f>
        <v>1.1178523337727317</v>
      </c>
      <c r="D34" s="35">
        <f>'Financial Statements'!C8/'Financial Statements'!C48</f>
        <v>1.0422077367080529</v>
      </c>
      <c r="E34" s="35">
        <f>'Financial Statements'!D8/'Financial Statements'!D48</f>
        <v>0.84756150274168851</v>
      </c>
      <c r="F34" s="30"/>
      <c r="G34" s="30"/>
      <c r="H34" s="26" t="s">
        <v>223</v>
      </c>
    </row>
    <row r="35" spans="1:12" x14ac:dyDescent="0.3">
      <c r="A35" s="18">
        <f t="shared" ref="A35:A37" si="2">+A34+0.1</f>
        <v>4.1999999999999993</v>
      </c>
      <c r="B35" s="1" t="s">
        <v>126</v>
      </c>
      <c r="C35" s="35">
        <f>'Financial Statements'!B8/'Financial Statements'!B45</f>
        <v>9.3626801529073767</v>
      </c>
      <c r="D35" s="35">
        <f>'Financial Statements'!C8/'Financial Statements'!C45</f>
        <v>9.2752789046653152</v>
      </c>
      <c r="E35" s="35">
        <f>'Financial Statements'!D8/'Financial Statements'!D45</f>
        <v>7.4665451776097482</v>
      </c>
      <c r="F35" s="30"/>
      <c r="G35" s="30"/>
      <c r="H35" s="26" t="s">
        <v>224</v>
      </c>
    </row>
    <row r="36" spans="1:12" x14ac:dyDescent="0.3">
      <c r="A36" s="18">
        <f t="shared" si="2"/>
        <v>4.2999999999999989</v>
      </c>
      <c r="B36" s="1" t="s">
        <v>127</v>
      </c>
      <c r="C36" s="35">
        <f>'Financial Statements'!B10/'Financial Statements'!B39</f>
        <v>40.734128588758594</v>
      </c>
      <c r="D36" s="35">
        <f>'Financial Statements'!C10/'Financial Statements'!C39</f>
        <v>29.219756838905774</v>
      </c>
      <c r="E36" s="35">
        <f>'Financial Statements'!D10/'Financial Statements'!D39</f>
        <v>37.253385865550356</v>
      </c>
      <c r="F36" s="30"/>
      <c r="G36" s="30"/>
      <c r="H36" s="26" t="s">
        <v>167</v>
      </c>
    </row>
    <row r="37" spans="1:12" x14ac:dyDescent="0.3">
      <c r="A37" s="18">
        <f t="shared" si="2"/>
        <v>4.3999999999999986</v>
      </c>
      <c r="B37" s="1" t="s">
        <v>128</v>
      </c>
      <c r="C37" s="35">
        <f>'Financial Statements'!B22/'Financial Statements'!B48</f>
        <v>0.28292440929256851</v>
      </c>
      <c r="D37" s="35">
        <f>'Financial Statements'!C22/'Financial Statements'!C48</f>
        <v>0.26974205275183616</v>
      </c>
      <c r="E37" s="35">
        <f>'Financial Statements'!D22/'Financial Statements'!D48</f>
        <v>0.1772557180259843</v>
      </c>
      <c r="F37" s="30"/>
      <c r="G37" s="30"/>
      <c r="H37" s="26" t="s">
        <v>168</v>
      </c>
    </row>
    <row r="38" spans="1:12" x14ac:dyDescent="0.3">
      <c r="A38" s="18"/>
    </row>
    <row r="39" spans="1:12" x14ac:dyDescent="0.3">
      <c r="A39" s="18">
        <f>+A33+1</f>
        <v>5</v>
      </c>
      <c r="B39" s="17" t="s">
        <v>129</v>
      </c>
    </row>
    <row r="40" spans="1:12" x14ac:dyDescent="0.3">
      <c r="A40" s="18">
        <f>+A39+0.1</f>
        <v>5.0999999999999996</v>
      </c>
      <c r="B40" s="1" t="s">
        <v>130</v>
      </c>
      <c r="C40" s="35">
        <f>$K$40/C41</f>
        <v>28.972357723577236</v>
      </c>
      <c r="D40" s="35">
        <f t="shared" ref="D40:E40" si="3">$K$40/D41</f>
        <v>31.42504409171076</v>
      </c>
      <c r="E40" s="35">
        <f t="shared" si="3"/>
        <v>53.830815709969791</v>
      </c>
      <c r="F40" s="30"/>
      <c r="G40" s="30"/>
      <c r="H40" s="26" t="s">
        <v>169</v>
      </c>
      <c r="J40" t="s">
        <v>170</v>
      </c>
      <c r="K40">
        <v>178.18</v>
      </c>
      <c r="L40" t="s">
        <v>171</v>
      </c>
    </row>
    <row r="41" spans="1:12" x14ac:dyDescent="0.3">
      <c r="A41" s="18">
        <f t="shared" ref="A41:A44" si="4">+A40+0.1</f>
        <v>5.1999999999999993</v>
      </c>
      <c r="B41" s="3" t="s">
        <v>131</v>
      </c>
      <c r="C41" s="35">
        <f>'Financial Statements'!B24</f>
        <v>6.15</v>
      </c>
      <c r="D41" s="35">
        <f>'Financial Statements'!C24</f>
        <v>5.67</v>
      </c>
      <c r="E41" s="35">
        <f>'Financial Statements'!D24</f>
        <v>3.31</v>
      </c>
      <c r="F41" t="s">
        <v>232</v>
      </c>
      <c r="J41" s="28">
        <v>45178</v>
      </c>
    </row>
    <row r="42" spans="1:12" x14ac:dyDescent="0.3">
      <c r="A42" s="18">
        <f t="shared" si="4"/>
        <v>5.2999999999999989</v>
      </c>
      <c r="B42" s="1" t="s">
        <v>132</v>
      </c>
      <c r="C42" s="35">
        <f>$K$40/C43</f>
        <v>44.555201889620506</v>
      </c>
      <c r="D42" s="35">
        <f t="shared" ref="D42:E42" si="5">$K$40/D43</f>
        <v>51.87540564734595</v>
      </c>
      <c r="E42" s="35">
        <f t="shared" si="5"/>
        <v>60.887385797672266</v>
      </c>
      <c r="F42" s="30"/>
      <c r="G42" s="30"/>
      <c r="H42" s="26" t="s">
        <v>173</v>
      </c>
    </row>
    <row r="43" spans="1:12" x14ac:dyDescent="0.3">
      <c r="A43" s="18">
        <f t="shared" si="4"/>
        <v>5.3999999999999986</v>
      </c>
      <c r="B43" s="3" t="s">
        <v>133</v>
      </c>
      <c r="C43" s="35">
        <f>10^3*'Financial Statements'!B65/'Financial Statements'!B27</f>
        <v>3.9990841123650811</v>
      </c>
      <c r="D43" s="35">
        <f>10^3*'Financial Statements'!C65/'Financial Statements'!C27</f>
        <v>3.4347683218380012</v>
      </c>
      <c r="E43" s="35">
        <f>10^3*'Financial Statements'!D65/'Financial Statements'!D27</f>
        <v>2.9263861088089587</v>
      </c>
      <c r="F43" s="30" t="s">
        <v>233</v>
      </c>
      <c r="G43" s="30"/>
      <c r="H43" s="26" t="s">
        <v>172</v>
      </c>
    </row>
    <row r="44" spans="1:12" x14ac:dyDescent="0.3">
      <c r="A44" s="18">
        <f t="shared" si="4"/>
        <v>5.4999999999999982</v>
      </c>
      <c r="B44" s="1" t="s">
        <v>134</v>
      </c>
      <c r="C44" s="35">
        <f>C45/C41</f>
        <v>0.14881451886066324</v>
      </c>
      <c r="D44" s="35">
        <f t="shared" ref="D44:E44" si="6">D45/D41</f>
        <v>0.15277274199029781</v>
      </c>
      <c r="E44" s="35">
        <f t="shared" si="6"/>
        <v>0.24516190500128213</v>
      </c>
      <c r="F44" s="30"/>
      <c r="G44" s="30"/>
      <c r="H44" s="26" t="s">
        <v>176</v>
      </c>
    </row>
    <row r="45" spans="1:12" x14ac:dyDescent="0.3">
      <c r="A45" s="18"/>
      <c r="B45" s="3" t="s">
        <v>135</v>
      </c>
      <c r="C45" s="35">
        <f>-10^3*'Financial Statements'!B102/'Financial Statements'!B27</f>
        <v>0.91520929099307891</v>
      </c>
      <c r="D45" s="35">
        <f>-10^3*'Financial Statements'!C102/'Financial Statements'!C27</f>
        <v>0.86622144708498849</v>
      </c>
      <c r="E45" s="35">
        <f>-10^3*'Financial Statements'!D102/'Financial Statements'!D27</f>
        <v>0.81148590555424382</v>
      </c>
      <c r="F45" s="30" t="s">
        <v>234</v>
      </c>
      <c r="G45" s="30"/>
      <c r="H45" s="26" t="s">
        <v>174</v>
      </c>
    </row>
    <row r="46" spans="1:12" x14ac:dyDescent="0.3">
      <c r="A46" s="18">
        <f>+A44+0.1</f>
        <v>5.5999999999999979</v>
      </c>
      <c r="B46" s="1" t="s">
        <v>136</v>
      </c>
      <c r="C46" s="35">
        <f>C45/$K$40</f>
        <v>5.1364310865028556E-3</v>
      </c>
      <c r="D46" s="35">
        <f t="shared" ref="D46" si="7">D45/$K$40</f>
        <v>4.8614965040127316E-3</v>
      </c>
      <c r="E46" s="27">
        <f>E45/$K$40</f>
        <v>4.5543041057034672E-3</v>
      </c>
      <c r="F46" s="30"/>
      <c r="G46" s="30"/>
      <c r="H46" s="26" t="s">
        <v>175</v>
      </c>
    </row>
    <row r="47" spans="1:12" x14ac:dyDescent="0.3">
      <c r="A47" s="18">
        <f t="shared" ref="A47:A50" si="8">+A45+0.1</f>
        <v>0.1</v>
      </c>
      <c r="B47" s="1" t="s">
        <v>137</v>
      </c>
      <c r="C47" s="35">
        <f>'Financial Statements'!B22/'Financial Statements'!B68</f>
        <v>1.9695887275023682</v>
      </c>
      <c r="D47" s="35">
        <f>'Financial Statements'!C22/'Financial Statements'!C68</f>
        <v>1.5007132667617689</v>
      </c>
      <c r="E47" s="35">
        <f>'Financial Statements'!D22/'Financial Statements'!D68</f>
        <v>0.87866358530127486</v>
      </c>
      <c r="F47" s="30"/>
      <c r="G47" s="30"/>
      <c r="H47" s="26" t="s">
        <v>177</v>
      </c>
    </row>
    <row r="48" spans="1:12" x14ac:dyDescent="0.3">
      <c r="A48" s="18">
        <f t="shared" si="8"/>
        <v>5.6999999999999975</v>
      </c>
      <c r="B48" s="1" t="s">
        <v>138</v>
      </c>
      <c r="C48" s="35">
        <f>C21/('Financial Statements'!B48-'Financial Statements'!B62)</f>
        <v>2.3570610988317018</v>
      </c>
      <c r="D48" s="35">
        <f>D21/('Financial Statements'!C48-'Financial Statements'!C62)</f>
        <v>1.7268822317324457</v>
      </c>
      <c r="E48" s="35">
        <f>E21/('Financial Statements'!D48-'Financial Statements'!D62)</f>
        <v>1.0145242504476653</v>
      </c>
      <c r="F48" s="30" t="s">
        <v>235</v>
      </c>
      <c r="G48" s="30"/>
      <c r="H48" s="26" t="s">
        <v>178</v>
      </c>
    </row>
    <row r="49" spans="1:10" x14ac:dyDescent="0.3">
      <c r="A49" s="18">
        <f t="shared" si="8"/>
        <v>0.2</v>
      </c>
      <c r="B49" s="1" t="s">
        <v>128</v>
      </c>
      <c r="C49" s="35">
        <f>'Financial Statements'!B22/'Financial Statements'!B48</f>
        <v>0.28292440929256851</v>
      </c>
      <c r="D49" s="35">
        <f>'Financial Statements'!C22/'Financial Statements'!C48</f>
        <v>0.26974205275183616</v>
      </c>
      <c r="E49" s="35">
        <f>'Financial Statements'!D22/'Financial Statements'!D48</f>
        <v>0.1772557180259843</v>
      </c>
      <c r="F49" s="30"/>
      <c r="G49" s="30"/>
      <c r="H49" s="26" t="s">
        <v>168</v>
      </c>
    </row>
    <row r="50" spans="1:10" x14ac:dyDescent="0.3">
      <c r="A50" s="18">
        <f t="shared" si="8"/>
        <v>5.7999999999999972</v>
      </c>
      <c r="B50" s="1" t="s">
        <v>139</v>
      </c>
      <c r="C50" s="35">
        <f>C51/C19</f>
        <v>1.0503443362621705</v>
      </c>
      <c r="D50" s="35">
        <f>D51/D19</f>
        <v>1.221536516596941</v>
      </c>
      <c r="E50" s="35">
        <f>E51/E19</f>
        <v>1.742384671079851</v>
      </c>
      <c r="F50" s="30"/>
      <c r="G50" s="30"/>
      <c r="H50" s="26" t="s">
        <v>180</v>
      </c>
    </row>
    <row r="51" spans="1:10" x14ac:dyDescent="0.3">
      <c r="A51" s="18"/>
      <c r="B51" s="3" t="s">
        <v>140</v>
      </c>
      <c r="C51" s="35">
        <f>'Financial Statements'!B68+'Financial Statements'!B59+'Financial Statements'!B55-'Financial Statements'!B36</f>
        <v>137113</v>
      </c>
      <c r="D51" s="35">
        <f>'Financial Statements'!C68+'Financial Statements'!C59+'Financial Statements'!C55-'Financial Statements'!C36</f>
        <v>146869</v>
      </c>
      <c r="E51" s="35">
        <f>'Financial Statements'!D68+'Financial Statements'!D59+'Financial Statements'!D55-'Financial Statements'!D36</f>
        <v>134763</v>
      </c>
      <c r="F51" t="s">
        <v>238</v>
      </c>
      <c r="H51" s="26" t="s">
        <v>179</v>
      </c>
    </row>
    <row r="53" spans="1:10" x14ac:dyDescent="0.3">
      <c r="A53" s="18">
        <v>6</v>
      </c>
      <c r="B53" s="11" t="s">
        <v>182</v>
      </c>
    </row>
    <row r="54" spans="1:10" x14ac:dyDescent="0.3">
      <c r="A54">
        <v>6.1</v>
      </c>
      <c r="B54" s="1" t="s">
        <v>183</v>
      </c>
      <c r="C54" s="27">
        <f>('Financial Statements'!B8-'Financial Statements'!C8)/'Financial Statements'!C8</f>
        <v>7.7937876041846058E-2</v>
      </c>
      <c r="D54" s="27">
        <f>('Financial Statements'!C8-'Financial Statements'!D8)/'Financial Statements'!D8</f>
        <v>0.33259384733074693</v>
      </c>
      <c r="H54" s="26" t="s">
        <v>192</v>
      </c>
      <c r="J54" s="1"/>
    </row>
    <row r="55" spans="1:10" x14ac:dyDescent="0.3">
      <c r="A55">
        <v>6.11</v>
      </c>
      <c r="B55" s="1" t="s">
        <v>4</v>
      </c>
      <c r="C55" s="27">
        <f>('Financial Statements'!B6-'Financial Statements'!C6)/'Financial Statements'!C6</f>
        <v>6.3239764351428418E-2</v>
      </c>
      <c r="D55" s="27">
        <f>('Financial Statements'!C6-'Financial Statements'!D6)/'Financial Statements'!D6</f>
        <v>0.34720743656765435</v>
      </c>
      <c r="J55" s="1"/>
    </row>
    <row r="56" spans="1:10" x14ac:dyDescent="0.3">
      <c r="A56">
        <v>6.12</v>
      </c>
      <c r="B56" s="1" t="s">
        <v>5</v>
      </c>
      <c r="C56" s="27">
        <f>('Financial Statements'!B7-'Financial Statements'!C7)/'Financial Statements'!C7</f>
        <v>0.14181951041286078</v>
      </c>
      <c r="D56" s="27">
        <f>('Financial Statements'!C7-'Financial Statements'!D7)/'Financial Statements'!D7</f>
        <v>0.27259708376729652</v>
      </c>
      <c r="J56" s="1"/>
    </row>
    <row r="57" spans="1:10" x14ac:dyDescent="0.3">
      <c r="A57" s="18">
        <v>6.2</v>
      </c>
      <c r="B57" s="1" t="s">
        <v>184</v>
      </c>
      <c r="C57" s="27">
        <f>('Financial Statements'!B13-'Financial Statements'!C13)/'Financial Statements'!C13</f>
        <v>0.11741997958596143</v>
      </c>
      <c r="D57" s="27">
        <f>('Financial Statements'!C13-'Financial Statements'!D13)/'Financial Statements'!D13</f>
        <v>0.45619116582186819</v>
      </c>
      <c r="J57" s="1"/>
    </row>
    <row r="58" spans="1:10" x14ac:dyDescent="0.3">
      <c r="A58">
        <v>6.3</v>
      </c>
      <c r="B58" s="1" t="s">
        <v>191</v>
      </c>
      <c r="C58" s="27">
        <f>('Financial Statements'!B17-'Financial Statements'!C17)/'Financial Statements'!C17</f>
        <v>0.16993642764372138</v>
      </c>
      <c r="D58" s="27">
        <f>('Financial Statements'!C17-'Financial Statements'!D17)/'Financial Statements'!D17</f>
        <v>0.13496948381090307</v>
      </c>
    </row>
    <row r="59" spans="1:10" x14ac:dyDescent="0.3">
      <c r="A59">
        <v>6.31</v>
      </c>
      <c r="B59" s="1" t="s">
        <v>11</v>
      </c>
      <c r="C59" s="27">
        <f>('Financial Statements'!B15-'Financial Statements'!C15)/'Financial Statements'!C15</f>
        <v>0.19791001186456147</v>
      </c>
      <c r="D59" s="27">
        <f>('Financial Statements'!C15-'Financial Statements'!D15)/'Financial Statements'!D15</f>
        <v>0.16862201365187712</v>
      </c>
    </row>
    <row r="60" spans="1:10" x14ac:dyDescent="0.3">
      <c r="A60">
        <v>6.32</v>
      </c>
      <c r="B60" s="1" t="s">
        <v>12</v>
      </c>
      <c r="C60" s="27">
        <f>('Financial Statements'!B16-'Financial Statements'!C16)/'Financial Statements'!C16</f>
        <v>0.14203795567287125</v>
      </c>
      <c r="D60" s="27">
        <f>('Financial Statements'!C16-'Financial Statements'!D16)/'Financial Statements'!D16</f>
        <v>0.10328379192608958</v>
      </c>
    </row>
    <row r="61" spans="1:10" x14ac:dyDescent="0.3">
      <c r="A61">
        <v>6.4</v>
      </c>
      <c r="B61" s="1" t="s">
        <v>187</v>
      </c>
      <c r="C61" s="27">
        <f>('Financial Statements'!B48-'Financial Statements'!C48)/'Financial Statements'!C48</f>
        <v>4.9942735369029236E-3</v>
      </c>
      <c r="D61" s="27">
        <f>('Financial Statements'!C48-'Financial Statements'!D48)/'Financial Statements'!D48</f>
        <v>8.3714123400681711E-2</v>
      </c>
    </row>
    <row r="62" spans="1:10" x14ac:dyDescent="0.3">
      <c r="A62" s="18">
        <v>6.41</v>
      </c>
      <c r="B62" s="1" t="s">
        <v>185</v>
      </c>
      <c r="C62" s="27">
        <f>('Financial Statements'!B42-'Financial Statements'!C42)/'Financial Statements'!C42</f>
        <v>4.2199412619775131E-3</v>
      </c>
      <c r="D62" s="27">
        <f>('Financial Statements'!C42-'Financial Statements'!D42)/'Financial Statements'!D42</f>
        <v>-6.176894226687913E-2</v>
      </c>
    </row>
    <row r="63" spans="1:10" x14ac:dyDescent="0.3">
      <c r="A63">
        <v>6.42</v>
      </c>
      <c r="B63" s="1" t="s">
        <v>186</v>
      </c>
      <c r="C63" s="27">
        <f>('Financial Statements'!B47-'Financial Statements'!C47)/'Financial Statements'!C47</f>
        <v>5.4772720964443994E-3</v>
      </c>
      <c r="D63" s="27">
        <f>('Financial Statements'!C47-'Financial Statements'!D47)/'Financial Statements'!D47</f>
        <v>0.19975579297904814</v>
      </c>
    </row>
    <row r="64" spans="1:10" x14ac:dyDescent="0.3">
      <c r="A64">
        <v>6.5</v>
      </c>
      <c r="B64" s="1" t="s">
        <v>190</v>
      </c>
      <c r="C64" s="27">
        <f>('Financial Statements'!B62-'Financial Statements'!C62)/'Financial Statements'!C62</f>
        <v>4.9219900525160468E-2</v>
      </c>
      <c r="D64" s="27">
        <f>('Financial Statements'!C62-'Financial Statements'!D62)/'Financial Statements'!D62</f>
        <v>0.11356841449783213</v>
      </c>
    </row>
    <row r="65" spans="1:10" x14ac:dyDescent="0.3">
      <c r="A65">
        <v>6.51</v>
      </c>
      <c r="B65" s="1" t="s">
        <v>188</v>
      </c>
      <c r="C65" s="27">
        <f>('Financial Statements'!B56-'Financial Statements'!C56)/'Financial Statements'!C56</f>
        <v>0.22713398841258836</v>
      </c>
      <c r="D65" s="27">
        <f>('Financial Statements'!C56-'Financial Statements'!D56)/'Financial Statements'!D56</f>
        <v>0.19061219067860938</v>
      </c>
    </row>
    <row r="66" spans="1:10" x14ac:dyDescent="0.3">
      <c r="A66" s="18">
        <v>6.52</v>
      </c>
      <c r="B66" s="1" t="s">
        <v>189</v>
      </c>
      <c r="C66" s="27">
        <f>('Financial Statements'!B61-'Financial Statements'!C61)/'Financial Statements'!C61</f>
        <v>-8.8222075835277747E-2</v>
      </c>
      <c r="D66" s="27">
        <f>('Financial Statements'!C61-'Financial Statements'!D61)/'Financial Statements'!D61</f>
        <v>6.0552243775994566E-2</v>
      </c>
    </row>
    <row r="68" spans="1:10" x14ac:dyDescent="0.3">
      <c r="A68">
        <v>7</v>
      </c>
      <c r="B68" s="11" t="s">
        <v>200</v>
      </c>
      <c r="J68" s="17"/>
    </row>
    <row r="69" spans="1:10" x14ac:dyDescent="0.3">
      <c r="A69">
        <v>7.1</v>
      </c>
      <c r="B69" s="1" t="s">
        <v>193</v>
      </c>
      <c r="C69" s="27">
        <f>'Financial Statements'!B12/'Financial Statements'!B8</f>
        <v>0.56690369438639909</v>
      </c>
      <c r="D69" s="27">
        <f>'Financial Statements'!C12/'Financial Statements'!C8</f>
        <v>0.58220640374832222</v>
      </c>
      <c r="E69" s="27">
        <f>'Financial Statements'!D12/'Financial Statements'!D8</f>
        <v>0.61766752272189129</v>
      </c>
      <c r="F69" s="27"/>
      <c r="G69" s="27"/>
      <c r="J69" s="1"/>
    </row>
    <row r="70" spans="1:10" x14ac:dyDescent="0.3">
      <c r="A70">
        <v>7.2</v>
      </c>
      <c r="B70" s="1" t="s">
        <v>184</v>
      </c>
      <c r="C70" s="27">
        <f>'Financial Statements'!B13/'Financial Statements'!B8</f>
        <v>0.43309630561360085</v>
      </c>
      <c r="D70" s="27">
        <f>'Financial Statements'!C13/'Financial Statements'!C8</f>
        <v>0.41779359625167778</v>
      </c>
      <c r="E70" s="27">
        <f>'Financial Statements'!D13/'Financial Statements'!D8</f>
        <v>0.38233247727810865</v>
      </c>
      <c r="F70" s="27"/>
      <c r="G70" s="27"/>
      <c r="J70" s="1"/>
    </row>
    <row r="71" spans="1:10" x14ac:dyDescent="0.3">
      <c r="A71">
        <v>7.3</v>
      </c>
      <c r="B71" s="1" t="s">
        <v>198</v>
      </c>
      <c r="C71" s="27">
        <f>'Financial Statements'!B17/'Financial Statements'!B8</f>
        <v>0.13020886165831491</v>
      </c>
      <c r="D71" s="27">
        <f>'Financial Statements'!C17/'Financial Statements'!C8</f>
        <v>0.11996982097606181</v>
      </c>
      <c r="E71" s="27">
        <f>'Financial Statements'!D17/'Financial Statements'!D8</f>
        <v>0.14085933373404003</v>
      </c>
      <c r="F71" s="27"/>
      <c r="G71" s="27"/>
      <c r="J71" s="1"/>
    </row>
    <row r="72" spans="1:10" x14ac:dyDescent="0.3">
      <c r="A72">
        <v>7.31</v>
      </c>
      <c r="B72" s="1" t="s">
        <v>195</v>
      </c>
      <c r="C72" s="27">
        <f>'Financial Statements'!B15/'Financial Statements'!B8</f>
        <v>6.657148363798665E-2</v>
      </c>
      <c r="D72" s="27">
        <f>'Financial Statements'!C15/'Financial Statements'!C8</f>
        <v>5.9904269074427925E-2</v>
      </c>
      <c r="E72" s="27">
        <f>'Financial Statements'!D15/'Financial Statements'!D8</f>
        <v>6.8309564140393061E-2</v>
      </c>
      <c r="F72" s="27"/>
      <c r="G72" s="27"/>
      <c r="J72" s="1"/>
    </row>
    <row r="73" spans="1:10" x14ac:dyDescent="0.3">
      <c r="A73">
        <v>7.32</v>
      </c>
      <c r="B73" s="1" t="s">
        <v>194</v>
      </c>
      <c r="C73" s="27">
        <f>'Financial Statements'!B16/'Financial Statements'!B8</f>
        <v>6.3637378020328261E-2</v>
      </c>
      <c r="D73" s="27">
        <f>'Financial Statements'!C16/'Financial Statements'!C8</f>
        <v>6.006555190163388E-2</v>
      </c>
      <c r="E73" s="27">
        <f>'Financial Statements'!D16/'Financial Statements'!D8</f>
        <v>7.2549769593646979E-2</v>
      </c>
      <c r="F73" s="27"/>
      <c r="G73" s="27"/>
      <c r="J73" s="1"/>
    </row>
    <row r="74" spans="1:10" x14ac:dyDescent="0.3">
      <c r="A74">
        <v>7.4</v>
      </c>
      <c r="B74" s="1" t="s">
        <v>196</v>
      </c>
      <c r="C74" s="27">
        <f>'Financial Statements'!B18/'Financial Statements'!B8</f>
        <v>0.30288744395528594</v>
      </c>
      <c r="D74" s="27">
        <f>'Financial Statements'!C18/'Financial Statements'!C8</f>
        <v>0.29782377527561593</v>
      </c>
      <c r="E74" s="27">
        <f>'Financial Statements'!D18/'Financial Statements'!D8</f>
        <v>0.24147314354406862</v>
      </c>
      <c r="F74" s="27"/>
      <c r="G74" s="27"/>
    </row>
    <row r="75" spans="1:10" x14ac:dyDescent="0.3">
      <c r="A75">
        <v>7.5</v>
      </c>
      <c r="B75" s="1" t="s">
        <v>197</v>
      </c>
      <c r="C75" s="27">
        <f>'Financial Statements'!B22/'Financial Statements'!B8</f>
        <v>0.25309640705199732</v>
      </c>
      <c r="D75" s="27">
        <f>'Financial Statements'!C22/'Financial Statements'!C8</f>
        <v>0.25881793355694238</v>
      </c>
      <c r="E75" s="27">
        <f>'Financial Statements'!D22/'Financial Statements'!D8</f>
        <v>0.20913611278072236</v>
      </c>
      <c r="F75" s="27"/>
      <c r="G75" s="27"/>
    </row>
    <row r="77" spans="1:10" x14ac:dyDescent="0.3">
      <c r="A77">
        <v>8</v>
      </c>
      <c r="B77" s="11" t="s">
        <v>199</v>
      </c>
    </row>
    <row r="78" spans="1:10" x14ac:dyDescent="0.3">
      <c r="A78">
        <v>8.1</v>
      </c>
      <c r="B78" s="1" t="s">
        <v>94</v>
      </c>
      <c r="C78">
        <f>'Financial Statements'!B21/'Financial Statements'!B20</f>
        <v>0.16204461684424407</v>
      </c>
      <c r="D78">
        <f>'Financial Statements'!C21/'Financial Statements'!C20</f>
        <v>0.13302260844085087</v>
      </c>
      <c r="E78">
        <f>'Financial Statements'!D21/'Financial Statements'!D20</f>
        <v>0.14428164731484103</v>
      </c>
      <c r="H78" s="26" t="s">
        <v>201</v>
      </c>
    </row>
    <row r="79" spans="1:10" x14ac:dyDescent="0.3">
      <c r="A79">
        <v>8.1999999999999993</v>
      </c>
      <c r="B79" s="1" t="s">
        <v>95</v>
      </c>
      <c r="C79" s="27">
        <f>C80/'Financial Statements'!B8</f>
        <v>5.5314357590635209E-2</v>
      </c>
      <c r="D79" s="27">
        <f>D80/'Financial Statements'!C8</f>
        <v>6.1148060368982307E-2</v>
      </c>
      <c r="E79" s="27">
        <f>E80/'Financial Statements'!D8</f>
        <v>6.6899805110831836E-2</v>
      </c>
      <c r="F79" s="27"/>
      <c r="G79" s="27"/>
    </row>
    <row r="80" spans="1:10" x14ac:dyDescent="0.3">
      <c r="B80" s="1" t="s">
        <v>202</v>
      </c>
      <c r="C80">
        <f>-'Financial Statements'!B96+'Financial Statements'!B79</f>
        <v>21812</v>
      </c>
      <c r="D80">
        <f>-'Financial Statements'!C96+'Financial Statements'!C79</f>
        <v>22369</v>
      </c>
      <c r="E80">
        <f>-'Financial Statements'!D96+'Financial Statements'!D79</f>
        <v>18365</v>
      </c>
      <c r="F80" t="s">
        <v>236</v>
      </c>
      <c r="H80" s="26" t="s">
        <v>203</v>
      </c>
    </row>
    <row r="81" spans="1:7" x14ac:dyDescent="0.3">
      <c r="A81">
        <v>8.3000000000000007</v>
      </c>
      <c r="B81" s="1" t="s">
        <v>96</v>
      </c>
      <c r="C81" s="27">
        <f>C80/'Financial Statements'!B45</f>
        <v>0.51789063798466173</v>
      </c>
      <c r="D81" s="27">
        <f>D80/'Financial Statements'!C45</f>
        <v>0.56716531440162277</v>
      </c>
      <c r="E81" s="27">
        <f>E80/'Financial Statements'!D45</f>
        <v>0.49951041723331341</v>
      </c>
      <c r="F81" s="27"/>
      <c r="G81" s="27"/>
    </row>
  </sheetData>
  <mergeCells count="1">
    <mergeCell ref="C2:E2"/>
  </mergeCells>
  <pageMargins left="0.7" right="0.7" top="0.75" bottom="0.75" header="0.3" footer="0.3"/>
  <pageSetup orientation="portrait" horizontalDpi="1200" verticalDpi="1200" r:id="rId1"/>
  <ignoredErrors>
    <ignoredError sqref="C19: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2023-09-11T12:17:11Z</dcterms:modified>
</cp:coreProperties>
</file>