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 state="visible" name="Segmental forecast" sheetId="3" r:id="rId6"/>
    <sheet state="visible" name="Three Statements" sheetId="4" r:id="rId7"/>
    <sheet state="visible" name="Graphs"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65">
      <text>
        <t xml:space="preserve">Dell:
Kept as balancing figure, since the reported segmental breakdowns and the cahsflow numbers have a small difference which cannot be traced back.</t>
      </text>
    </comment>
  </commentList>
</comments>
</file>

<file path=xl/sharedStrings.xml><?xml version="1.0" encoding="utf-8"?>
<sst xmlns="http://schemas.openxmlformats.org/spreadsheetml/2006/main" count="564" uniqueCount="244">
  <si>
    <t>Instructions</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</si>
  <si>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</si>
  <si>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</si>
  <si>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</si>
  <si>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</si>
  <si>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</si>
  <si>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</si>
  <si>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</si>
  <si>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</si>
  <si>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</si>
  <si>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</si>
  <si>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</si>
  <si>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</si>
  <si>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</si>
  <si>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</si>
  <si>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</si>
  <si>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</si>
  <si>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</si>
  <si>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</si>
  <si>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</si>
  <si>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</si>
  <si>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</si>
  <si>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</si>
  <si>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</si>
  <si>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</si>
  <si>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</si>
  <si>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</si>
  <si>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</si>
  <si>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</si>
  <si>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</si>
  <si>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</si>
  <si>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</si>
  <si>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</si>
  <si>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</si>
  <si>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</si>
  <si>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</si>
  <si>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</si>
  <si>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</si>
  <si>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</si>
  <si>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</si>
  <si>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</si>
  <si>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</si>
  <si>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</si>
  <si>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</si>
  <si>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</si>
  <si>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</si>
  <si>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</si>
  <si>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</si>
  <si>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</si>
  <si>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</si>
  <si>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</si>
  <si>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</si>
  <si>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</si>
  <si>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</si>
  <si>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</si>
  <si>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</si>
  <si>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</si>
  <si>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</si>
  <si>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</si>
  <si>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</si>
  <si>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</si>
  <si>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</si>
  <si>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</si>
  <si>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</si>
  <si>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</si>
  <si>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</si>
  <si>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</si>
  <si>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</si>
  <si>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</si>
  <si>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</si>
  <si>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</si>
  <si>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</si>
  <si>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</si>
  <si>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</si>
  <si>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</si>
  <si>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</si>
  <si>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</si>
  <si>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</si>
  <si>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</si>
  <si>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</si>
  <si>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</si>
  <si>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</si>
  <si>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</si>
  <si>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</si>
  <si>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</si>
  <si>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</si>
  <si>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</si>
  <si>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</si>
  <si>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</si>
  <si>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</si>
  <si>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</si>
  <si>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</si>
  <si>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</si>
  <si>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</si>
  <si>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</si>
  <si>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</si>
  <si>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</si>
  <si>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</si>
  <si>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</si>
  <si>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</si>
  <si>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</si>
  <si>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</si>
  <si>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</si>
  <si>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</si>
  <si>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</si>
  <si>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</si>
  <si>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</si>
  <si>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</si>
  <si>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</si>
  <si>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</si>
  <si>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</si>
  <si>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</si>
  <si>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</si>
  <si>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</si>
  <si>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</si>
  <si>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</si>
  <si>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</si>
  <si>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</si>
  <si>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</si>
  <si>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</si>
  <si>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</si>
  <si>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</si>
  <si>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</si>
  <si>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</si>
  <si>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</si>
  <si>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</si>
  <si>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</si>
  <si>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</si>
  <si>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</si>
  <si>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</si>
  <si>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</si>
  <si>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</si>
  <si>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</si>
  <si>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</si>
  <si>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</si>
  <si>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</si>
  <si>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</si>
  <si>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</si>
  <si>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</si>
  <si>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</si>
  <si>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</si>
  <si>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</si>
  <si>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</si>
  <si>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</si>
  <si>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</si>
  <si>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</si>
  <si>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</si>
  <si>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</si>
  <si>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</si>
  <si>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</si>
  <si>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</si>
  <si>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</si>
  <si>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</si>
  <si>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</si>
  <si>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</si>
  <si>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</si>
  <si>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</si>
  <si>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</si>
  <si>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</si>
  <si>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</si>
  <si>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</si>
  <si>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</si>
  <si>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</si>
  <si>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</si>
  <si>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</si>
  <si>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</si>
  <si>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</si>
  <si>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</si>
  <si>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</si>
  <si>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</si>
  <si>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</si>
  <si>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</si>
  <si>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</si>
  <si>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</si>
  <si>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</si>
  <si>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</si>
  <si>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</si>
  <si>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</si>
  <si>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</si>
  <si>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</si>
  <si>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</si>
  <si>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</si>
  <si>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</si>
  <si>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</si>
  <si>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</si>
  <si>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</si>
  <si>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</si>
  <si>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</si>
  <si>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</si>
  <si>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</si>
  <si>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</si>
  <si>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</si>
  <si>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</si>
  <si>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rFont val="Calibri"/>
        <b/>
        <color theme="0"/>
        <sz val="16.0"/>
      </rPr>
      <t>NIKE, INC.</t>
    </r>
    <r>
      <rPr>
        <rFont val="Calibri"/>
        <b/>
        <color theme="0"/>
        <sz val="20.0"/>
      </rPr>
      <t xml:space="preserve">
</t>
    </r>
    <r>
      <rPr>
        <rFont val="Calibri"/>
        <b val="0"/>
        <color theme="0"/>
        <sz val="11.0"/>
      </rPr>
      <t>(Dollars and Shares in Millions Except Per Share Amounts)</t>
    </r>
  </si>
  <si>
    <t>Income Statement</t>
  </si>
  <si>
    <t>2023 growth figure from 2023 Annual Report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</si>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</sst>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quot;-&quot;??_);_(@_)"/>
    <numFmt numFmtId="165" formatCode="#,##0.0"/>
    <numFmt numFmtId="166" formatCode="0.0%"/>
    <numFmt numFmtId="167" formatCode="_(* #,##0.00_);_(* \(#,##0.00\);_(* &quot;-&quot;??_);_(@_)"/>
  </numFmts>
  <fonts count="16">
    <font>
      <sz val="11.0"/>
      <color theme="1"/>
      <name val="Calibri"/>
      <scheme val="minor"/>
    </font>
    <font>
      <b/>
      <sz val="18.0"/>
      <color theme="0"/>
      <name val="Calibri"/>
    </font>
    <font>
      <color theme="1"/>
      <name val="Calibri"/>
      <scheme val="minor"/>
    </font>
    <font>
      <b/>
      <sz val="11.0"/>
      <color theme="1"/>
      <name val="Calibri"/>
    </font>
    <font>
      <sz val="11.0"/>
      <color theme="1"/>
      <name val="Calibri"/>
    </font>
    <font>
      <b/>
      <sz val="20.0"/>
      <color theme="0"/>
      <name val="Calibri"/>
    </font>
    <font>
      <b/>
      <sz val="11.0"/>
      <color theme="0"/>
      <name val="Calibri"/>
    </font>
    <font>
      <sz val="11.0"/>
      <color rgb="FF000000"/>
      <name val="Calibri"/>
    </font>
    <font>
      <b/>
      <sz val="11.0"/>
      <color rgb="FFFF0000"/>
      <name val="Calibri"/>
    </font>
    <font>
      <b/>
      <i/>
      <sz val="10.0"/>
      <color theme="1"/>
      <name val="Calibri"/>
    </font>
    <font>
      <b/>
      <i/>
      <sz val="10.0"/>
      <color rgb="FF000000"/>
      <name val="Calibri"/>
    </font>
    <font>
      <i/>
      <sz val="10.0"/>
      <color theme="1"/>
      <name val="Calibri"/>
    </font>
    <font>
      <i/>
      <sz val="10.0"/>
      <color rgb="FF000000"/>
      <name val="Calibri"/>
    </font>
    <font>
      <i/>
      <sz val="9.0"/>
      <color theme="1"/>
      <name val="Calibri"/>
    </font>
    <font>
      <i/>
      <sz val="10.0"/>
      <color rgb="FF002060"/>
      <name val="Calibri"/>
    </font>
    <font>
      <i/>
      <sz val="9.0"/>
      <color rgb="FF0070C0"/>
      <name val="Calibri"/>
    </font>
  </fonts>
  <fills count="10">
    <fill>
      <patternFill patternType="none"/>
    </fill>
    <fill>
      <patternFill patternType="lightGray"/>
    </fill>
    <fill>
      <patternFill patternType="solid">
        <fgColor rgb="FF002060"/>
        <bgColor rgb="FF002060"/>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Font="1"/>
    <xf borderId="0" fillId="0" fontId="3" numFmtId="0" xfId="0" applyFont="1"/>
    <xf borderId="0" fillId="0" fontId="4" numFmtId="0" xfId="0" applyAlignment="1" applyFont="1">
      <alignment horizontal="left"/>
    </xf>
    <xf borderId="0" fillId="0" fontId="4" numFmtId="0" xfId="0" applyAlignment="1" applyFont="1">
      <alignment horizontal="left" shrinkToFit="0" wrapText="1"/>
    </xf>
    <xf borderId="0" fillId="0" fontId="4" numFmtId="0" xfId="0" applyAlignment="1" applyFont="1">
      <alignment shrinkToFit="0" wrapText="1"/>
    </xf>
    <xf borderId="1" fillId="2" fontId="5" numFmtId="0" xfId="0" applyAlignment="1" applyBorder="1" applyFont="1">
      <alignment shrinkToFit="0" vertical="center" wrapText="1"/>
    </xf>
    <xf borderId="1" fillId="2" fontId="6" numFmtId="0" xfId="0" applyAlignment="1" applyBorder="1" applyFont="1">
      <alignment horizontal="right"/>
    </xf>
    <xf borderId="0" fillId="0" fontId="4" numFmtId="164" xfId="0" applyFont="1" applyNumberFormat="1"/>
    <xf borderId="2" fillId="0" fontId="4" numFmtId="0" xfId="0" applyBorder="1" applyFont="1"/>
    <xf borderId="2" fillId="0" fontId="4" numFmtId="164" xfId="0" applyBorder="1" applyFont="1" applyNumberFormat="1"/>
    <xf borderId="0" fillId="0" fontId="3" numFmtId="164" xfId="0" applyFont="1" applyNumberFormat="1"/>
    <xf borderId="3" fillId="0" fontId="4" numFmtId="0" xfId="0" applyAlignment="1" applyBorder="1" applyFont="1">
      <alignment horizontal="left"/>
    </xf>
    <xf borderId="3" fillId="0" fontId="4" numFmtId="164" xfId="0" applyBorder="1" applyFont="1" applyNumberFormat="1"/>
    <xf borderId="0" fillId="0" fontId="7" numFmtId="164" xfId="0" applyFont="1" applyNumberFormat="1"/>
    <xf borderId="3" fillId="0" fontId="3" numFmtId="0" xfId="0" applyBorder="1" applyFont="1"/>
    <xf borderId="3" fillId="0" fontId="3" numFmtId="164" xfId="0" applyBorder="1" applyFont="1" applyNumberFormat="1"/>
    <xf borderId="4" fillId="0" fontId="3" numFmtId="0" xfId="0" applyBorder="1" applyFont="1"/>
    <xf borderId="4" fillId="0" fontId="3" numFmtId="164" xfId="0" applyBorder="1" applyFont="1" applyNumberFormat="1"/>
    <xf borderId="0" fillId="0" fontId="4" numFmtId="165" xfId="0" applyFont="1" applyNumberFormat="1"/>
    <xf borderId="0" fillId="0" fontId="4" numFmtId="3" xfId="0" applyFont="1" applyNumberFormat="1"/>
    <xf borderId="0" fillId="0" fontId="8" numFmtId="0" xfId="0" applyFont="1"/>
    <xf borderId="0" fillId="0" fontId="8" numFmtId="164" xfId="0" applyFont="1" applyNumberFormat="1"/>
    <xf borderId="1" fillId="3" fontId="3" numFmtId="0" xfId="0" applyAlignment="1" applyBorder="1" applyFill="1" applyFont="1">
      <alignment horizontal="center"/>
    </xf>
    <xf borderId="0" fillId="0" fontId="3" numFmtId="0" xfId="0" applyAlignment="1" applyFont="1">
      <alignment horizontal="left"/>
    </xf>
    <xf borderId="5" fillId="0" fontId="3" numFmtId="0" xfId="0" applyAlignment="1" applyBorder="1" applyFont="1">
      <alignment horizontal="left"/>
    </xf>
    <xf borderId="5" fillId="0" fontId="3" numFmtId="164" xfId="0" applyBorder="1" applyFont="1" applyNumberFormat="1"/>
    <xf borderId="5" fillId="0" fontId="3" numFmtId="0" xfId="0" applyBorder="1" applyFont="1"/>
    <xf borderId="0" fillId="0" fontId="7" numFmtId="0" xfId="0" applyFont="1"/>
    <xf borderId="0" fillId="0" fontId="7" numFmtId="3" xfId="0" applyFont="1" applyNumberFormat="1"/>
    <xf borderId="0" fillId="0" fontId="9" numFmtId="0" xfId="0" applyAlignment="1" applyFont="1">
      <alignment horizontal="left"/>
    </xf>
    <xf borderId="0" fillId="0" fontId="10" numFmtId="166" xfId="0" applyFont="1" applyNumberFormat="1"/>
    <xf borderId="0" fillId="0" fontId="11" numFmtId="0" xfId="0" applyAlignment="1" applyFont="1">
      <alignment horizontal="left"/>
    </xf>
    <xf borderId="0" fillId="0" fontId="12" numFmtId="166" xfId="0" applyFont="1" applyNumberFormat="1"/>
    <xf borderId="3" fillId="0" fontId="11" numFmtId="0" xfId="0" applyBorder="1" applyFont="1"/>
    <xf borderId="3" fillId="0" fontId="10" numFmtId="166" xfId="0" applyBorder="1" applyFont="1" applyNumberFormat="1"/>
    <xf borderId="4" fillId="0" fontId="9" numFmtId="0" xfId="0" applyBorder="1" applyFont="1"/>
    <xf borderId="4" fillId="0" fontId="10" numFmtId="166" xfId="0" applyBorder="1" applyFont="1" applyNumberFormat="1"/>
    <xf borderId="1" fillId="4" fontId="3" numFmtId="0" xfId="0" applyBorder="1" applyFill="1" applyFont="1"/>
    <xf borderId="1" fillId="5" fontId="6" numFmtId="164" xfId="0" applyAlignment="1" applyBorder="1" applyFill="1" applyFont="1" applyNumberFormat="1">
      <alignment horizontal="left"/>
    </xf>
    <xf borderId="0" fillId="0" fontId="13" numFmtId="164" xfId="0" applyAlignment="1" applyFont="1" applyNumberFormat="1">
      <alignment horizontal="left"/>
    </xf>
    <xf borderId="0" fillId="0" fontId="11" numFmtId="166" xfId="0" applyAlignment="1" applyFont="1" applyNumberFormat="1">
      <alignment horizontal="right"/>
    </xf>
    <xf borderId="1" fillId="6" fontId="3" numFmtId="164" xfId="0" applyBorder="1" applyFill="1" applyFont="1" applyNumberFormat="1"/>
    <xf borderId="0" fillId="0" fontId="4" numFmtId="164" xfId="0" applyAlignment="1" applyFont="1" applyNumberFormat="1">
      <alignment horizontal="left"/>
    </xf>
    <xf borderId="1" fillId="7" fontId="14" numFmtId="166" xfId="0" applyBorder="1" applyFill="1" applyFont="1" applyNumberFormat="1"/>
    <xf borderId="1" fillId="8" fontId="4" numFmtId="0" xfId="0" applyBorder="1" applyFill="1" applyFont="1"/>
    <xf borderId="0" fillId="0" fontId="11" numFmtId="10" xfId="0" applyAlignment="1" applyFont="1" applyNumberFormat="1">
      <alignment horizontal="right"/>
    </xf>
    <xf borderId="1" fillId="7" fontId="14" numFmtId="10" xfId="0" applyBorder="1" applyFont="1" applyNumberFormat="1"/>
    <xf borderId="0" fillId="0" fontId="14" numFmtId="166" xfId="0" applyFont="1" applyNumberFormat="1"/>
    <xf borderId="0" fillId="0" fontId="12" numFmtId="166" xfId="0" applyAlignment="1" applyFont="1" applyNumberFormat="1">
      <alignment horizontal="right"/>
    </xf>
    <xf borderId="0" fillId="0" fontId="13" numFmtId="166" xfId="0" applyAlignment="1" applyFont="1" applyNumberFormat="1">
      <alignment horizontal="right"/>
    </xf>
    <xf borderId="1" fillId="9" fontId="15" numFmtId="166" xfId="0" applyBorder="1" applyFill="1" applyFont="1" applyNumberFormat="1"/>
    <xf borderId="0" fillId="0" fontId="4" numFmtId="167" xfId="0" applyFont="1" applyNumberFormat="1"/>
    <xf borderId="1" fillId="5" fontId="6" numFmtId="0" xfId="0" applyBorder="1" applyFont="1"/>
    <xf borderId="0" fillId="0" fontId="8" numFmtId="167"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40" Type="http://schemas.openxmlformats.org/officeDocument/2006/relationships/image" Target="../media/image38.png"/><Relationship Id="rId20" Type="http://schemas.openxmlformats.org/officeDocument/2006/relationships/image" Target="../media/image20.png"/><Relationship Id="rId42" Type="http://schemas.openxmlformats.org/officeDocument/2006/relationships/image" Target="../media/image48.png"/><Relationship Id="rId41" Type="http://schemas.openxmlformats.org/officeDocument/2006/relationships/image" Target="../media/image25.png"/><Relationship Id="rId22" Type="http://schemas.openxmlformats.org/officeDocument/2006/relationships/image" Target="../media/image7.png"/><Relationship Id="rId44" Type="http://schemas.openxmlformats.org/officeDocument/2006/relationships/image" Target="../media/image34.png"/><Relationship Id="rId21" Type="http://schemas.openxmlformats.org/officeDocument/2006/relationships/image" Target="../media/image43.png"/><Relationship Id="rId43" Type="http://schemas.openxmlformats.org/officeDocument/2006/relationships/image" Target="../media/image35.png"/><Relationship Id="rId24" Type="http://schemas.openxmlformats.org/officeDocument/2006/relationships/image" Target="../media/image42.png"/><Relationship Id="rId46" Type="http://schemas.openxmlformats.org/officeDocument/2006/relationships/image" Target="../media/image30.png"/><Relationship Id="rId23" Type="http://schemas.openxmlformats.org/officeDocument/2006/relationships/image" Target="../media/image3.png"/><Relationship Id="rId45" Type="http://schemas.openxmlformats.org/officeDocument/2006/relationships/image" Target="../media/image44.png"/><Relationship Id="rId1" Type="http://schemas.openxmlformats.org/officeDocument/2006/relationships/image" Target="../media/image2.png"/><Relationship Id="rId2" Type="http://schemas.openxmlformats.org/officeDocument/2006/relationships/image" Target="../media/image11.png"/><Relationship Id="rId3"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6.png"/><Relationship Id="rId26" Type="http://schemas.openxmlformats.org/officeDocument/2006/relationships/image" Target="../media/image26.png"/><Relationship Id="rId48" Type="http://schemas.openxmlformats.org/officeDocument/2006/relationships/image" Target="../media/image41.png"/><Relationship Id="rId25" Type="http://schemas.openxmlformats.org/officeDocument/2006/relationships/image" Target="../media/image46.png"/><Relationship Id="rId47" Type="http://schemas.openxmlformats.org/officeDocument/2006/relationships/image" Target="../media/image40.png"/><Relationship Id="rId28" Type="http://schemas.openxmlformats.org/officeDocument/2006/relationships/image" Target="../media/image22.png"/><Relationship Id="rId27" Type="http://schemas.openxmlformats.org/officeDocument/2006/relationships/image" Target="../media/image28.png"/><Relationship Id="rId5" Type="http://schemas.openxmlformats.org/officeDocument/2006/relationships/image" Target="../media/image15.png"/><Relationship Id="rId6" Type="http://schemas.openxmlformats.org/officeDocument/2006/relationships/image" Target="../media/image21.png"/><Relationship Id="rId29" Type="http://schemas.openxmlformats.org/officeDocument/2006/relationships/image" Target="../media/image39.png"/><Relationship Id="rId7" Type="http://schemas.openxmlformats.org/officeDocument/2006/relationships/image" Target="../media/image8.png"/><Relationship Id="rId8" Type="http://schemas.openxmlformats.org/officeDocument/2006/relationships/image" Target="../media/image13.png"/><Relationship Id="rId31" Type="http://schemas.openxmlformats.org/officeDocument/2006/relationships/image" Target="../media/image27.png"/><Relationship Id="rId30" Type="http://schemas.openxmlformats.org/officeDocument/2006/relationships/image" Target="../media/image24.png"/><Relationship Id="rId11" Type="http://schemas.openxmlformats.org/officeDocument/2006/relationships/image" Target="../media/image47.png"/><Relationship Id="rId33" Type="http://schemas.openxmlformats.org/officeDocument/2006/relationships/image" Target="../media/image31.png"/><Relationship Id="rId10" Type="http://schemas.openxmlformats.org/officeDocument/2006/relationships/image" Target="../media/image4.png"/><Relationship Id="rId32" Type="http://schemas.openxmlformats.org/officeDocument/2006/relationships/image" Target="../media/image37.png"/><Relationship Id="rId13" Type="http://schemas.openxmlformats.org/officeDocument/2006/relationships/image" Target="../media/image9.png"/><Relationship Id="rId35" Type="http://schemas.openxmlformats.org/officeDocument/2006/relationships/image" Target="../media/image33.png"/><Relationship Id="rId12" Type="http://schemas.openxmlformats.org/officeDocument/2006/relationships/image" Target="../media/image14.png"/><Relationship Id="rId34" Type="http://schemas.openxmlformats.org/officeDocument/2006/relationships/image" Target="../media/image36.png"/><Relationship Id="rId15" Type="http://schemas.openxmlformats.org/officeDocument/2006/relationships/image" Target="../media/image10.png"/><Relationship Id="rId37" Type="http://schemas.openxmlformats.org/officeDocument/2006/relationships/image" Target="../media/image45.png"/><Relationship Id="rId14" Type="http://schemas.openxmlformats.org/officeDocument/2006/relationships/image" Target="../media/image1.png"/><Relationship Id="rId36" Type="http://schemas.openxmlformats.org/officeDocument/2006/relationships/image" Target="../media/image32.png"/><Relationship Id="rId17" Type="http://schemas.openxmlformats.org/officeDocument/2006/relationships/image" Target="../media/image18.png"/><Relationship Id="rId39" Type="http://schemas.openxmlformats.org/officeDocument/2006/relationships/image" Target="../media/image29.png"/><Relationship Id="rId16" Type="http://schemas.openxmlformats.org/officeDocument/2006/relationships/image" Target="../media/image12.png"/><Relationship Id="rId38" Type="http://schemas.openxmlformats.org/officeDocument/2006/relationships/image" Target="../media/image23.png"/><Relationship Id="rId19" Type="http://schemas.openxmlformats.org/officeDocument/2006/relationships/image" Target="../media/image17.png"/><Relationship Id="rId18"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6848475" cy="45148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24</xdr:row>
      <xdr:rowOff>0</xdr:rowOff>
    </xdr:from>
    <xdr:ext cx="6838950" cy="4514850"/>
    <xdr:pic>
      <xdr:nvPicPr>
        <xdr:cNvPr id="0" name="image11.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48</xdr:row>
      <xdr:rowOff>0</xdr:rowOff>
    </xdr:from>
    <xdr:ext cx="6838950" cy="4514850"/>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oneCellAnchor>
    <xdr:from>
      <xdr:col>11</xdr:col>
      <xdr:colOff>600075</xdr:colOff>
      <xdr:row>0</xdr:row>
      <xdr:rowOff>0</xdr:rowOff>
    </xdr:from>
    <xdr:ext cx="6810375" cy="4514850"/>
    <xdr:pic>
      <xdr:nvPicPr>
        <xdr:cNvPr id="0" name="image5.png"/>
        <xdr:cNvPicPr preferRelativeResize="0"/>
      </xdr:nvPicPr>
      <xdr:blipFill>
        <a:blip cstate="print" r:embed="rId4"/>
        <a:stretch>
          <a:fillRect/>
        </a:stretch>
      </xdr:blipFill>
      <xdr:spPr>
        <a:prstGeom prst="rect">
          <a:avLst/>
        </a:prstGeom>
        <a:noFill/>
      </xdr:spPr>
    </xdr:pic>
    <xdr:clientData fLocksWithSheet="0"/>
  </xdr:oneCellAnchor>
  <xdr:oneCellAnchor>
    <xdr:from>
      <xdr:col>12</xdr:col>
      <xdr:colOff>0</xdr:colOff>
      <xdr:row>24</xdr:row>
      <xdr:rowOff>0</xdr:rowOff>
    </xdr:from>
    <xdr:ext cx="6838950" cy="4514850"/>
    <xdr:pic>
      <xdr:nvPicPr>
        <xdr:cNvPr id="0" name="image15.png"/>
        <xdr:cNvPicPr preferRelativeResize="0"/>
      </xdr:nvPicPr>
      <xdr:blipFill>
        <a:blip cstate="print" r:embed="rId5"/>
        <a:stretch>
          <a:fillRect/>
        </a:stretch>
      </xdr:blipFill>
      <xdr:spPr>
        <a:prstGeom prst="rect">
          <a:avLst/>
        </a:prstGeom>
        <a:noFill/>
      </xdr:spPr>
    </xdr:pic>
    <xdr:clientData fLocksWithSheet="0"/>
  </xdr:oneCellAnchor>
  <xdr:oneCellAnchor>
    <xdr:from>
      <xdr:col>12</xdr:col>
      <xdr:colOff>0</xdr:colOff>
      <xdr:row>48</xdr:row>
      <xdr:rowOff>0</xdr:rowOff>
    </xdr:from>
    <xdr:ext cx="6838950" cy="4514850"/>
    <xdr:pic>
      <xdr:nvPicPr>
        <xdr:cNvPr id="0" name="image21.png"/>
        <xdr:cNvPicPr preferRelativeResize="0"/>
      </xdr:nvPicPr>
      <xdr:blipFill>
        <a:blip cstate="print" r:embed="rId6"/>
        <a:stretch>
          <a:fillRect/>
        </a:stretch>
      </xdr:blipFill>
      <xdr:spPr>
        <a:prstGeom prst="rect">
          <a:avLst/>
        </a:prstGeom>
        <a:noFill/>
      </xdr:spPr>
    </xdr:pic>
    <xdr:clientData fLocksWithSheet="0"/>
  </xdr:oneCellAnchor>
  <xdr:oneCellAnchor>
    <xdr:from>
      <xdr:col>24</xdr:col>
      <xdr:colOff>0</xdr:colOff>
      <xdr:row>0</xdr:row>
      <xdr:rowOff>0</xdr:rowOff>
    </xdr:from>
    <xdr:ext cx="6848475" cy="4514850"/>
    <xdr:pic>
      <xdr:nvPicPr>
        <xdr:cNvPr id="0" name="image8.png"/>
        <xdr:cNvPicPr preferRelativeResize="0"/>
      </xdr:nvPicPr>
      <xdr:blipFill>
        <a:blip cstate="print" r:embed="rId7"/>
        <a:stretch>
          <a:fillRect/>
        </a:stretch>
      </xdr:blipFill>
      <xdr:spPr>
        <a:prstGeom prst="rect">
          <a:avLst/>
        </a:prstGeom>
        <a:noFill/>
      </xdr:spPr>
    </xdr:pic>
    <xdr:clientData fLocksWithSheet="0"/>
  </xdr:oneCellAnchor>
  <xdr:oneCellAnchor>
    <xdr:from>
      <xdr:col>24</xdr:col>
      <xdr:colOff>0</xdr:colOff>
      <xdr:row>24</xdr:row>
      <xdr:rowOff>0</xdr:rowOff>
    </xdr:from>
    <xdr:ext cx="6848475" cy="4514850"/>
    <xdr:pic>
      <xdr:nvPicPr>
        <xdr:cNvPr id="0" name="image13.png"/>
        <xdr:cNvPicPr preferRelativeResize="0"/>
      </xdr:nvPicPr>
      <xdr:blipFill>
        <a:blip cstate="print" r:embed="rId8"/>
        <a:stretch>
          <a:fillRect/>
        </a:stretch>
      </xdr:blipFill>
      <xdr:spPr>
        <a:prstGeom prst="rect">
          <a:avLst/>
        </a:prstGeom>
        <a:noFill/>
      </xdr:spPr>
    </xdr:pic>
    <xdr:clientData fLocksWithSheet="0"/>
  </xdr:oneCellAnchor>
  <xdr:oneCellAnchor>
    <xdr:from>
      <xdr:col>24</xdr:col>
      <xdr:colOff>0</xdr:colOff>
      <xdr:row>48</xdr:row>
      <xdr:rowOff>0</xdr:rowOff>
    </xdr:from>
    <xdr:ext cx="6848475" cy="4514850"/>
    <xdr:pic>
      <xdr:nvPicPr>
        <xdr:cNvPr id="0" name="image16.png"/>
        <xdr:cNvPicPr preferRelativeResize="0"/>
      </xdr:nvPicPr>
      <xdr:blipFill>
        <a:blip cstate="print" r:embed="rId9"/>
        <a:stretch>
          <a:fillRect/>
        </a:stretch>
      </xdr:blipFill>
      <xdr:spPr>
        <a:prstGeom prst="rect">
          <a:avLst/>
        </a:prstGeom>
        <a:noFill/>
      </xdr:spPr>
    </xdr:pic>
    <xdr:clientData fLocksWithSheet="0"/>
  </xdr:oneCellAnchor>
  <xdr:oneCellAnchor>
    <xdr:from>
      <xdr:col>36</xdr:col>
      <xdr:colOff>0</xdr:colOff>
      <xdr:row>0</xdr:row>
      <xdr:rowOff>0</xdr:rowOff>
    </xdr:from>
    <xdr:ext cx="6848475" cy="4514850"/>
    <xdr:pic>
      <xdr:nvPicPr>
        <xdr:cNvPr id="0" name="image4.png"/>
        <xdr:cNvPicPr preferRelativeResize="0"/>
      </xdr:nvPicPr>
      <xdr:blipFill>
        <a:blip cstate="print" r:embed="rId10"/>
        <a:stretch>
          <a:fillRect/>
        </a:stretch>
      </xdr:blipFill>
      <xdr:spPr>
        <a:prstGeom prst="rect">
          <a:avLst/>
        </a:prstGeom>
        <a:noFill/>
      </xdr:spPr>
    </xdr:pic>
    <xdr:clientData fLocksWithSheet="0"/>
  </xdr:oneCellAnchor>
  <xdr:oneCellAnchor>
    <xdr:from>
      <xdr:col>36</xdr:col>
      <xdr:colOff>0</xdr:colOff>
      <xdr:row>24</xdr:row>
      <xdr:rowOff>0</xdr:rowOff>
    </xdr:from>
    <xdr:ext cx="6838950" cy="4514850"/>
    <xdr:pic>
      <xdr:nvPicPr>
        <xdr:cNvPr id="0" name="image47.png"/>
        <xdr:cNvPicPr preferRelativeResize="0"/>
      </xdr:nvPicPr>
      <xdr:blipFill>
        <a:blip cstate="print" r:embed="rId11"/>
        <a:stretch>
          <a:fillRect/>
        </a:stretch>
      </xdr:blipFill>
      <xdr:spPr>
        <a:prstGeom prst="rect">
          <a:avLst/>
        </a:prstGeom>
        <a:noFill/>
      </xdr:spPr>
    </xdr:pic>
    <xdr:clientData fLocksWithSheet="0"/>
  </xdr:oneCellAnchor>
  <xdr:oneCellAnchor>
    <xdr:from>
      <xdr:col>36</xdr:col>
      <xdr:colOff>0</xdr:colOff>
      <xdr:row>48</xdr:row>
      <xdr:rowOff>0</xdr:rowOff>
    </xdr:from>
    <xdr:ext cx="6848475" cy="4514850"/>
    <xdr:pic>
      <xdr:nvPicPr>
        <xdr:cNvPr id="0" name="image14.png"/>
        <xdr:cNvPicPr preferRelativeResize="0"/>
      </xdr:nvPicPr>
      <xdr:blipFill>
        <a:blip cstate="print" r:embed="rId12"/>
        <a:stretch>
          <a:fillRect/>
        </a:stretch>
      </xdr:blipFill>
      <xdr:spPr>
        <a:prstGeom prst="rect">
          <a:avLst/>
        </a:prstGeom>
        <a:noFill/>
      </xdr:spPr>
    </xdr:pic>
    <xdr:clientData fLocksWithSheet="0"/>
  </xdr:oneCellAnchor>
  <xdr:oneCellAnchor>
    <xdr:from>
      <xdr:col>48</xdr:col>
      <xdr:colOff>0</xdr:colOff>
      <xdr:row>0</xdr:row>
      <xdr:rowOff>0</xdr:rowOff>
    </xdr:from>
    <xdr:ext cx="6848475" cy="4514850"/>
    <xdr:pic>
      <xdr:nvPicPr>
        <xdr:cNvPr id="0" name="image9.png"/>
        <xdr:cNvPicPr preferRelativeResize="0"/>
      </xdr:nvPicPr>
      <xdr:blipFill>
        <a:blip cstate="print" r:embed="rId13"/>
        <a:stretch>
          <a:fillRect/>
        </a:stretch>
      </xdr:blipFill>
      <xdr:spPr>
        <a:prstGeom prst="rect">
          <a:avLst/>
        </a:prstGeom>
        <a:noFill/>
      </xdr:spPr>
    </xdr:pic>
    <xdr:clientData fLocksWithSheet="0"/>
  </xdr:oneCellAnchor>
  <xdr:oneCellAnchor>
    <xdr:from>
      <xdr:col>48</xdr:col>
      <xdr:colOff>0</xdr:colOff>
      <xdr:row>24</xdr:row>
      <xdr:rowOff>0</xdr:rowOff>
    </xdr:from>
    <xdr:ext cx="6838950" cy="4514850"/>
    <xdr:pic>
      <xdr:nvPicPr>
        <xdr:cNvPr id="0" name="image1.png"/>
        <xdr:cNvPicPr preferRelativeResize="0"/>
      </xdr:nvPicPr>
      <xdr:blipFill>
        <a:blip cstate="print" r:embed="rId14"/>
        <a:stretch>
          <a:fillRect/>
        </a:stretch>
      </xdr:blipFill>
      <xdr:spPr>
        <a:prstGeom prst="rect">
          <a:avLst/>
        </a:prstGeom>
        <a:noFill/>
      </xdr:spPr>
    </xdr:pic>
    <xdr:clientData fLocksWithSheet="0"/>
  </xdr:oneCellAnchor>
  <xdr:oneCellAnchor>
    <xdr:from>
      <xdr:col>48</xdr:col>
      <xdr:colOff>0</xdr:colOff>
      <xdr:row>48</xdr:row>
      <xdr:rowOff>0</xdr:rowOff>
    </xdr:from>
    <xdr:ext cx="6848475" cy="4514850"/>
    <xdr:pic>
      <xdr:nvPicPr>
        <xdr:cNvPr id="0" name="image10.png"/>
        <xdr:cNvPicPr preferRelativeResize="0"/>
      </xdr:nvPicPr>
      <xdr:blipFill>
        <a:blip cstate="print" r:embed="rId15"/>
        <a:stretch>
          <a:fillRect/>
        </a:stretch>
      </xdr:blipFill>
      <xdr:spPr>
        <a:prstGeom prst="rect">
          <a:avLst/>
        </a:prstGeom>
        <a:noFill/>
      </xdr:spPr>
    </xdr:pic>
    <xdr:clientData fLocksWithSheet="0"/>
  </xdr:oneCellAnchor>
  <xdr:oneCellAnchor>
    <xdr:from>
      <xdr:col>48</xdr:col>
      <xdr:colOff>0</xdr:colOff>
      <xdr:row>71</xdr:row>
      <xdr:rowOff>0</xdr:rowOff>
    </xdr:from>
    <xdr:ext cx="6848475" cy="4514850"/>
    <xdr:pic>
      <xdr:nvPicPr>
        <xdr:cNvPr id="0" name="image12.png"/>
        <xdr:cNvPicPr preferRelativeResize="0"/>
      </xdr:nvPicPr>
      <xdr:blipFill>
        <a:blip cstate="print" r:embed="rId16"/>
        <a:stretch>
          <a:fillRect/>
        </a:stretch>
      </xdr:blipFill>
      <xdr:spPr>
        <a:prstGeom prst="rect">
          <a:avLst/>
        </a:prstGeom>
        <a:noFill/>
      </xdr:spPr>
    </xdr:pic>
    <xdr:clientData fLocksWithSheet="0"/>
  </xdr:oneCellAnchor>
  <xdr:oneCellAnchor>
    <xdr:from>
      <xdr:col>48</xdr:col>
      <xdr:colOff>0</xdr:colOff>
      <xdr:row>94</xdr:row>
      <xdr:rowOff>0</xdr:rowOff>
    </xdr:from>
    <xdr:ext cx="6848475" cy="4514850"/>
    <xdr:pic>
      <xdr:nvPicPr>
        <xdr:cNvPr id="0" name="image18.png"/>
        <xdr:cNvPicPr preferRelativeResize="0"/>
      </xdr:nvPicPr>
      <xdr:blipFill>
        <a:blip cstate="print" r:embed="rId17"/>
        <a:stretch>
          <a:fillRect/>
        </a:stretch>
      </xdr:blipFill>
      <xdr:spPr>
        <a:prstGeom prst="rect">
          <a:avLst/>
        </a:prstGeom>
        <a:noFill/>
      </xdr:spPr>
    </xdr:pic>
    <xdr:clientData fLocksWithSheet="0"/>
  </xdr:oneCellAnchor>
  <xdr:oneCellAnchor>
    <xdr:from>
      <xdr:col>60</xdr:col>
      <xdr:colOff>0</xdr:colOff>
      <xdr:row>0</xdr:row>
      <xdr:rowOff>0</xdr:rowOff>
    </xdr:from>
    <xdr:ext cx="6848475" cy="4514850"/>
    <xdr:pic>
      <xdr:nvPicPr>
        <xdr:cNvPr id="0" name="image19.png"/>
        <xdr:cNvPicPr preferRelativeResize="0"/>
      </xdr:nvPicPr>
      <xdr:blipFill>
        <a:blip cstate="print" r:embed="rId18"/>
        <a:stretch>
          <a:fillRect/>
        </a:stretch>
      </xdr:blipFill>
      <xdr:spPr>
        <a:prstGeom prst="rect">
          <a:avLst/>
        </a:prstGeom>
        <a:noFill/>
      </xdr:spPr>
    </xdr:pic>
    <xdr:clientData fLocksWithSheet="0"/>
  </xdr:oneCellAnchor>
  <xdr:oneCellAnchor>
    <xdr:from>
      <xdr:col>60</xdr:col>
      <xdr:colOff>0</xdr:colOff>
      <xdr:row>24</xdr:row>
      <xdr:rowOff>0</xdr:rowOff>
    </xdr:from>
    <xdr:ext cx="6838950" cy="4514850"/>
    <xdr:pic>
      <xdr:nvPicPr>
        <xdr:cNvPr id="0" name="image17.png"/>
        <xdr:cNvPicPr preferRelativeResize="0"/>
      </xdr:nvPicPr>
      <xdr:blipFill>
        <a:blip cstate="print" r:embed="rId19"/>
        <a:stretch>
          <a:fillRect/>
        </a:stretch>
      </xdr:blipFill>
      <xdr:spPr>
        <a:prstGeom prst="rect">
          <a:avLst/>
        </a:prstGeom>
        <a:noFill/>
      </xdr:spPr>
    </xdr:pic>
    <xdr:clientData fLocksWithSheet="0"/>
  </xdr:oneCellAnchor>
  <xdr:oneCellAnchor>
    <xdr:from>
      <xdr:col>60</xdr:col>
      <xdr:colOff>0</xdr:colOff>
      <xdr:row>48</xdr:row>
      <xdr:rowOff>0</xdr:rowOff>
    </xdr:from>
    <xdr:ext cx="6848475" cy="4514850"/>
    <xdr:pic>
      <xdr:nvPicPr>
        <xdr:cNvPr id="0" name="image20.png"/>
        <xdr:cNvPicPr preferRelativeResize="0"/>
      </xdr:nvPicPr>
      <xdr:blipFill>
        <a:blip cstate="print" r:embed="rId20"/>
        <a:stretch>
          <a:fillRect/>
        </a:stretch>
      </xdr:blipFill>
      <xdr:spPr>
        <a:prstGeom prst="rect">
          <a:avLst/>
        </a:prstGeom>
        <a:noFill/>
      </xdr:spPr>
    </xdr:pic>
    <xdr:clientData fLocksWithSheet="0"/>
  </xdr:oneCellAnchor>
  <xdr:oneCellAnchor>
    <xdr:from>
      <xdr:col>60</xdr:col>
      <xdr:colOff>0</xdr:colOff>
      <xdr:row>71</xdr:row>
      <xdr:rowOff>0</xdr:rowOff>
    </xdr:from>
    <xdr:ext cx="6838950" cy="4514850"/>
    <xdr:pic>
      <xdr:nvPicPr>
        <xdr:cNvPr id="0" name="image43.png"/>
        <xdr:cNvPicPr preferRelativeResize="0"/>
      </xdr:nvPicPr>
      <xdr:blipFill>
        <a:blip cstate="print" r:embed="rId21"/>
        <a:stretch>
          <a:fillRect/>
        </a:stretch>
      </xdr:blipFill>
      <xdr:spPr>
        <a:prstGeom prst="rect">
          <a:avLst/>
        </a:prstGeom>
        <a:noFill/>
      </xdr:spPr>
    </xdr:pic>
    <xdr:clientData fLocksWithSheet="0"/>
  </xdr:oneCellAnchor>
  <xdr:oneCellAnchor>
    <xdr:from>
      <xdr:col>60</xdr:col>
      <xdr:colOff>0</xdr:colOff>
      <xdr:row>94</xdr:row>
      <xdr:rowOff>0</xdr:rowOff>
    </xdr:from>
    <xdr:ext cx="6848475" cy="4514850"/>
    <xdr:pic>
      <xdr:nvPicPr>
        <xdr:cNvPr id="0" name="image7.png"/>
        <xdr:cNvPicPr preferRelativeResize="0"/>
      </xdr:nvPicPr>
      <xdr:blipFill>
        <a:blip cstate="print" r:embed="rId22"/>
        <a:stretch>
          <a:fillRect/>
        </a:stretch>
      </xdr:blipFill>
      <xdr:spPr>
        <a:prstGeom prst="rect">
          <a:avLst/>
        </a:prstGeom>
        <a:noFill/>
      </xdr:spPr>
    </xdr:pic>
    <xdr:clientData fLocksWithSheet="0"/>
  </xdr:oneCellAnchor>
  <xdr:oneCellAnchor>
    <xdr:from>
      <xdr:col>72</xdr:col>
      <xdr:colOff>0</xdr:colOff>
      <xdr:row>0</xdr:row>
      <xdr:rowOff>0</xdr:rowOff>
    </xdr:from>
    <xdr:ext cx="6838950" cy="4514850"/>
    <xdr:pic>
      <xdr:nvPicPr>
        <xdr:cNvPr id="0" name="image3.png"/>
        <xdr:cNvPicPr preferRelativeResize="0"/>
      </xdr:nvPicPr>
      <xdr:blipFill>
        <a:blip cstate="print" r:embed="rId23"/>
        <a:stretch>
          <a:fillRect/>
        </a:stretch>
      </xdr:blipFill>
      <xdr:spPr>
        <a:prstGeom prst="rect">
          <a:avLst/>
        </a:prstGeom>
        <a:noFill/>
      </xdr:spPr>
    </xdr:pic>
    <xdr:clientData fLocksWithSheet="0"/>
  </xdr:oneCellAnchor>
  <xdr:oneCellAnchor>
    <xdr:from>
      <xdr:col>72</xdr:col>
      <xdr:colOff>0</xdr:colOff>
      <xdr:row>48</xdr:row>
      <xdr:rowOff>0</xdr:rowOff>
    </xdr:from>
    <xdr:ext cx="6838950" cy="4514850"/>
    <xdr:pic>
      <xdr:nvPicPr>
        <xdr:cNvPr id="0" name="image42.png"/>
        <xdr:cNvPicPr preferRelativeResize="0"/>
      </xdr:nvPicPr>
      <xdr:blipFill>
        <a:blip cstate="print" r:embed="rId24"/>
        <a:stretch>
          <a:fillRect/>
        </a:stretch>
      </xdr:blipFill>
      <xdr:spPr>
        <a:prstGeom prst="rect">
          <a:avLst/>
        </a:prstGeom>
        <a:noFill/>
      </xdr:spPr>
    </xdr:pic>
    <xdr:clientData fLocksWithSheet="0"/>
  </xdr:oneCellAnchor>
  <xdr:oneCellAnchor>
    <xdr:from>
      <xdr:col>72</xdr:col>
      <xdr:colOff>0</xdr:colOff>
      <xdr:row>71</xdr:row>
      <xdr:rowOff>0</xdr:rowOff>
    </xdr:from>
    <xdr:ext cx="6838950" cy="4514850"/>
    <xdr:pic>
      <xdr:nvPicPr>
        <xdr:cNvPr id="0" name="image46.png"/>
        <xdr:cNvPicPr preferRelativeResize="0"/>
      </xdr:nvPicPr>
      <xdr:blipFill>
        <a:blip cstate="print" r:embed="rId25"/>
        <a:stretch>
          <a:fillRect/>
        </a:stretch>
      </xdr:blipFill>
      <xdr:spPr>
        <a:prstGeom prst="rect">
          <a:avLst/>
        </a:prstGeom>
        <a:noFill/>
      </xdr:spPr>
    </xdr:pic>
    <xdr:clientData fLocksWithSheet="0"/>
  </xdr:oneCellAnchor>
  <xdr:oneCellAnchor>
    <xdr:from>
      <xdr:col>72</xdr:col>
      <xdr:colOff>0</xdr:colOff>
      <xdr:row>94</xdr:row>
      <xdr:rowOff>0</xdr:rowOff>
    </xdr:from>
    <xdr:ext cx="6838950" cy="4514850"/>
    <xdr:pic>
      <xdr:nvPicPr>
        <xdr:cNvPr id="0" name="image26.png"/>
        <xdr:cNvPicPr preferRelativeResize="0"/>
      </xdr:nvPicPr>
      <xdr:blipFill>
        <a:blip cstate="print" r:embed="rId26"/>
        <a:stretch>
          <a:fillRect/>
        </a:stretch>
      </xdr:blipFill>
      <xdr:spPr>
        <a:prstGeom prst="rect">
          <a:avLst/>
        </a:prstGeom>
        <a:noFill/>
      </xdr:spPr>
    </xdr:pic>
    <xdr:clientData fLocksWithSheet="0"/>
  </xdr:oneCellAnchor>
  <xdr:oneCellAnchor>
    <xdr:from>
      <xdr:col>72</xdr:col>
      <xdr:colOff>0</xdr:colOff>
      <xdr:row>24</xdr:row>
      <xdr:rowOff>0</xdr:rowOff>
    </xdr:from>
    <xdr:ext cx="6838950" cy="4514850"/>
    <xdr:pic>
      <xdr:nvPicPr>
        <xdr:cNvPr id="0" name="image28.png"/>
        <xdr:cNvPicPr preferRelativeResize="0"/>
      </xdr:nvPicPr>
      <xdr:blipFill>
        <a:blip cstate="print" r:embed="rId27"/>
        <a:stretch>
          <a:fillRect/>
        </a:stretch>
      </xdr:blipFill>
      <xdr:spPr>
        <a:prstGeom prst="rect">
          <a:avLst/>
        </a:prstGeom>
        <a:noFill/>
      </xdr:spPr>
    </xdr:pic>
    <xdr:clientData fLocksWithSheet="0"/>
  </xdr:oneCellAnchor>
  <xdr:oneCellAnchor>
    <xdr:from>
      <xdr:col>84</xdr:col>
      <xdr:colOff>0</xdr:colOff>
      <xdr:row>0</xdr:row>
      <xdr:rowOff>0</xdr:rowOff>
    </xdr:from>
    <xdr:ext cx="5153025" cy="4524375"/>
    <xdr:pic>
      <xdr:nvPicPr>
        <xdr:cNvPr id="0" name="image22.png"/>
        <xdr:cNvPicPr preferRelativeResize="0"/>
      </xdr:nvPicPr>
      <xdr:blipFill>
        <a:blip cstate="print" r:embed="rId28"/>
        <a:stretch>
          <a:fillRect/>
        </a:stretch>
      </xdr:blipFill>
      <xdr:spPr>
        <a:prstGeom prst="rect">
          <a:avLst/>
        </a:prstGeom>
        <a:noFill/>
      </xdr:spPr>
    </xdr:pic>
    <xdr:clientData fLocksWithSheet="0"/>
  </xdr:oneCellAnchor>
  <xdr:oneCellAnchor>
    <xdr:from>
      <xdr:col>84</xdr:col>
      <xdr:colOff>0</xdr:colOff>
      <xdr:row>24</xdr:row>
      <xdr:rowOff>0</xdr:rowOff>
    </xdr:from>
    <xdr:ext cx="5238750" cy="4524375"/>
    <xdr:pic>
      <xdr:nvPicPr>
        <xdr:cNvPr id="0" name="image39.png"/>
        <xdr:cNvPicPr preferRelativeResize="0"/>
      </xdr:nvPicPr>
      <xdr:blipFill>
        <a:blip cstate="print" r:embed="rId29"/>
        <a:stretch>
          <a:fillRect/>
        </a:stretch>
      </xdr:blipFill>
      <xdr:spPr>
        <a:prstGeom prst="rect">
          <a:avLst/>
        </a:prstGeom>
        <a:noFill/>
      </xdr:spPr>
    </xdr:pic>
    <xdr:clientData fLocksWithSheet="0"/>
  </xdr:oneCellAnchor>
  <xdr:oneCellAnchor>
    <xdr:from>
      <xdr:col>84</xdr:col>
      <xdr:colOff>0</xdr:colOff>
      <xdr:row>48</xdr:row>
      <xdr:rowOff>0</xdr:rowOff>
    </xdr:from>
    <xdr:ext cx="5153025" cy="4524375"/>
    <xdr:pic>
      <xdr:nvPicPr>
        <xdr:cNvPr id="0" name="image24.png"/>
        <xdr:cNvPicPr preferRelativeResize="0"/>
      </xdr:nvPicPr>
      <xdr:blipFill>
        <a:blip cstate="print" r:embed="rId30"/>
        <a:stretch>
          <a:fillRect/>
        </a:stretch>
      </xdr:blipFill>
      <xdr:spPr>
        <a:prstGeom prst="rect">
          <a:avLst/>
        </a:prstGeom>
        <a:noFill/>
      </xdr:spPr>
    </xdr:pic>
    <xdr:clientData fLocksWithSheet="0"/>
  </xdr:oneCellAnchor>
  <xdr:oneCellAnchor>
    <xdr:from>
      <xdr:col>84</xdr:col>
      <xdr:colOff>0</xdr:colOff>
      <xdr:row>71</xdr:row>
      <xdr:rowOff>0</xdr:rowOff>
    </xdr:from>
    <xdr:ext cx="5238750" cy="4524375"/>
    <xdr:pic>
      <xdr:nvPicPr>
        <xdr:cNvPr id="0" name="image27.png"/>
        <xdr:cNvPicPr preferRelativeResize="0"/>
      </xdr:nvPicPr>
      <xdr:blipFill>
        <a:blip cstate="print" r:embed="rId31"/>
        <a:stretch>
          <a:fillRect/>
        </a:stretch>
      </xdr:blipFill>
      <xdr:spPr>
        <a:prstGeom prst="rect">
          <a:avLst/>
        </a:prstGeom>
        <a:noFill/>
      </xdr:spPr>
    </xdr:pic>
    <xdr:clientData fLocksWithSheet="0"/>
  </xdr:oneCellAnchor>
  <xdr:oneCellAnchor>
    <xdr:from>
      <xdr:col>84</xdr:col>
      <xdr:colOff>0</xdr:colOff>
      <xdr:row>94</xdr:row>
      <xdr:rowOff>0</xdr:rowOff>
    </xdr:from>
    <xdr:ext cx="5257800" cy="4524375"/>
    <xdr:pic>
      <xdr:nvPicPr>
        <xdr:cNvPr id="0" name="image37.png"/>
        <xdr:cNvPicPr preferRelativeResize="0"/>
      </xdr:nvPicPr>
      <xdr:blipFill>
        <a:blip cstate="print" r:embed="rId32"/>
        <a:stretch>
          <a:fillRect/>
        </a:stretch>
      </xdr:blipFill>
      <xdr:spPr>
        <a:prstGeom prst="rect">
          <a:avLst/>
        </a:prstGeom>
        <a:noFill/>
      </xdr:spPr>
    </xdr:pic>
    <xdr:clientData fLocksWithSheet="0"/>
  </xdr:oneCellAnchor>
  <xdr:oneCellAnchor>
    <xdr:from>
      <xdr:col>84</xdr:col>
      <xdr:colOff>0</xdr:colOff>
      <xdr:row>118</xdr:row>
      <xdr:rowOff>0</xdr:rowOff>
    </xdr:from>
    <xdr:ext cx="4791075" cy="4171950"/>
    <xdr:pic>
      <xdr:nvPicPr>
        <xdr:cNvPr id="0" name="image31.png"/>
        <xdr:cNvPicPr preferRelativeResize="0"/>
      </xdr:nvPicPr>
      <xdr:blipFill>
        <a:blip cstate="print" r:embed="rId33"/>
        <a:stretch>
          <a:fillRect/>
        </a:stretch>
      </xdr:blipFill>
      <xdr:spPr>
        <a:prstGeom prst="rect">
          <a:avLst/>
        </a:prstGeom>
        <a:noFill/>
      </xdr:spPr>
    </xdr:pic>
    <xdr:clientData fLocksWithSheet="0"/>
  </xdr:oneCellAnchor>
  <xdr:oneCellAnchor>
    <xdr:from>
      <xdr:col>0</xdr:col>
      <xdr:colOff>0</xdr:colOff>
      <xdr:row>71</xdr:row>
      <xdr:rowOff>0</xdr:rowOff>
    </xdr:from>
    <xdr:ext cx="6838950" cy="4514850"/>
    <xdr:pic>
      <xdr:nvPicPr>
        <xdr:cNvPr id="0" name="image36.png"/>
        <xdr:cNvPicPr preferRelativeResize="0"/>
      </xdr:nvPicPr>
      <xdr:blipFill>
        <a:blip cstate="print" r:embed="rId34"/>
        <a:stretch>
          <a:fillRect/>
        </a:stretch>
      </xdr:blipFill>
      <xdr:spPr>
        <a:prstGeom prst="rect">
          <a:avLst/>
        </a:prstGeom>
        <a:noFill/>
      </xdr:spPr>
    </xdr:pic>
    <xdr:clientData fLocksWithSheet="0"/>
  </xdr:oneCellAnchor>
  <xdr:oneCellAnchor>
    <xdr:from>
      <xdr:col>0</xdr:col>
      <xdr:colOff>0</xdr:colOff>
      <xdr:row>94</xdr:row>
      <xdr:rowOff>0</xdr:rowOff>
    </xdr:from>
    <xdr:ext cx="6838950" cy="4514850"/>
    <xdr:pic>
      <xdr:nvPicPr>
        <xdr:cNvPr id="0" name="image33.png"/>
        <xdr:cNvPicPr preferRelativeResize="0"/>
      </xdr:nvPicPr>
      <xdr:blipFill>
        <a:blip cstate="print" r:embed="rId35"/>
        <a:stretch>
          <a:fillRect/>
        </a:stretch>
      </xdr:blipFill>
      <xdr:spPr>
        <a:prstGeom prst="rect">
          <a:avLst/>
        </a:prstGeom>
        <a:noFill/>
      </xdr:spPr>
    </xdr:pic>
    <xdr:clientData fLocksWithSheet="0"/>
  </xdr:oneCellAnchor>
  <xdr:oneCellAnchor>
    <xdr:from>
      <xdr:col>0</xdr:col>
      <xdr:colOff>0</xdr:colOff>
      <xdr:row>117</xdr:row>
      <xdr:rowOff>0</xdr:rowOff>
    </xdr:from>
    <xdr:ext cx="6838950" cy="4514850"/>
    <xdr:pic>
      <xdr:nvPicPr>
        <xdr:cNvPr id="0" name="image32.png"/>
        <xdr:cNvPicPr preferRelativeResize="0"/>
      </xdr:nvPicPr>
      <xdr:blipFill>
        <a:blip cstate="print" r:embed="rId36"/>
        <a:stretch>
          <a:fillRect/>
        </a:stretch>
      </xdr:blipFill>
      <xdr:spPr>
        <a:prstGeom prst="rect">
          <a:avLst/>
        </a:prstGeom>
        <a:noFill/>
      </xdr:spPr>
    </xdr:pic>
    <xdr:clientData fLocksWithSheet="0"/>
  </xdr:oneCellAnchor>
  <xdr:oneCellAnchor>
    <xdr:from>
      <xdr:col>12</xdr:col>
      <xdr:colOff>0</xdr:colOff>
      <xdr:row>71</xdr:row>
      <xdr:rowOff>0</xdr:rowOff>
    </xdr:from>
    <xdr:ext cx="6838950" cy="4514850"/>
    <xdr:pic>
      <xdr:nvPicPr>
        <xdr:cNvPr id="0" name="image45.png"/>
        <xdr:cNvPicPr preferRelativeResize="0"/>
      </xdr:nvPicPr>
      <xdr:blipFill>
        <a:blip cstate="print" r:embed="rId37"/>
        <a:stretch>
          <a:fillRect/>
        </a:stretch>
      </xdr:blipFill>
      <xdr:spPr>
        <a:prstGeom prst="rect">
          <a:avLst/>
        </a:prstGeom>
        <a:noFill/>
      </xdr:spPr>
    </xdr:pic>
    <xdr:clientData fLocksWithSheet="0"/>
  </xdr:oneCellAnchor>
  <xdr:oneCellAnchor>
    <xdr:from>
      <xdr:col>12</xdr:col>
      <xdr:colOff>0</xdr:colOff>
      <xdr:row>94</xdr:row>
      <xdr:rowOff>0</xdr:rowOff>
    </xdr:from>
    <xdr:ext cx="6838950" cy="4514850"/>
    <xdr:pic>
      <xdr:nvPicPr>
        <xdr:cNvPr id="0" name="image23.png"/>
        <xdr:cNvPicPr preferRelativeResize="0"/>
      </xdr:nvPicPr>
      <xdr:blipFill>
        <a:blip cstate="print" r:embed="rId38"/>
        <a:stretch>
          <a:fillRect/>
        </a:stretch>
      </xdr:blipFill>
      <xdr:spPr>
        <a:prstGeom prst="rect">
          <a:avLst/>
        </a:prstGeom>
        <a:noFill/>
      </xdr:spPr>
    </xdr:pic>
    <xdr:clientData fLocksWithSheet="0"/>
  </xdr:oneCellAnchor>
  <xdr:oneCellAnchor>
    <xdr:from>
      <xdr:col>12</xdr:col>
      <xdr:colOff>0</xdr:colOff>
      <xdr:row>117</xdr:row>
      <xdr:rowOff>0</xdr:rowOff>
    </xdr:from>
    <xdr:ext cx="6838950" cy="4514850"/>
    <xdr:pic>
      <xdr:nvPicPr>
        <xdr:cNvPr id="0" name="image29.png"/>
        <xdr:cNvPicPr preferRelativeResize="0"/>
      </xdr:nvPicPr>
      <xdr:blipFill>
        <a:blip cstate="print" r:embed="rId39"/>
        <a:stretch>
          <a:fillRect/>
        </a:stretch>
      </xdr:blipFill>
      <xdr:spPr>
        <a:prstGeom prst="rect">
          <a:avLst/>
        </a:prstGeom>
        <a:noFill/>
      </xdr:spPr>
    </xdr:pic>
    <xdr:clientData fLocksWithSheet="0"/>
  </xdr:oneCellAnchor>
  <xdr:oneCellAnchor>
    <xdr:from>
      <xdr:col>24</xdr:col>
      <xdr:colOff>0</xdr:colOff>
      <xdr:row>71</xdr:row>
      <xdr:rowOff>0</xdr:rowOff>
    </xdr:from>
    <xdr:ext cx="6838950" cy="4514850"/>
    <xdr:pic>
      <xdr:nvPicPr>
        <xdr:cNvPr id="0" name="image38.png"/>
        <xdr:cNvPicPr preferRelativeResize="0"/>
      </xdr:nvPicPr>
      <xdr:blipFill>
        <a:blip cstate="print" r:embed="rId40"/>
        <a:stretch>
          <a:fillRect/>
        </a:stretch>
      </xdr:blipFill>
      <xdr:spPr>
        <a:prstGeom prst="rect">
          <a:avLst/>
        </a:prstGeom>
        <a:noFill/>
      </xdr:spPr>
    </xdr:pic>
    <xdr:clientData fLocksWithSheet="0"/>
  </xdr:oneCellAnchor>
  <xdr:oneCellAnchor>
    <xdr:from>
      <xdr:col>24</xdr:col>
      <xdr:colOff>0</xdr:colOff>
      <xdr:row>94</xdr:row>
      <xdr:rowOff>0</xdr:rowOff>
    </xdr:from>
    <xdr:ext cx="6838950" cy="4514850"/>
    <xdr:pic>
      <xdr:nvPicPr>
        <xdr:cNvPr id="0" name="image25.png"/>
        <xdr:cNvPicPr preferRelativeResize="0"/>
      </xdr:nvPicPr>
      <xdr:blipFill>
        <a:blip cstate="print" r:embed="rId41"/>
        <a:stretch>
          <a:fillRect/>
        </a:stretch>
      </xdr:blipFill>
      <xdr:spPr>
        <a:prstGeom prst="rect">
          <a:avLst/>
        </a:prstGeom>
        <a:noFill/>
      </xdr:spPr>
    </xdr:pic>
    <xdr:clientData fLocksWithSheet="0"/>
  </xdr:oneCellAnchor>
  <xdr:oneCellAnchor>
    <xdr:from>
      <xdr:col>24</xdr:col>
      <xdr:colOff>0</xdr:colOff>
      <xdr:row>117</xdr:row>
      <xdr:rowOff>0</xdr:rowOff>
    </xdr:from>
    <xdr:ext cx="6838950" cy="4514850"/>
    <xdr:pic>
      <xdr:nvPicPr>
        <xdr:cNvPr id="0" name="image48.png"/>
        <xdr:cNvPicPr preferRelativeResize="0"/>
      </xdr:nvPicPr>
      <xdr:blipFill>
        <a:blip cstate="print" r:embed="rId42"/>
        <a:stretch>
          <a:fillRect/>
        </a:stretch>
      </xdr:blipFill>
      <xdr:spPr>
        <a:prstGeom prst="rect">
          <a:avLst/>
        </a:prstGeom>
        <a:noFill/>
      </xdr:spPr>
    </xdr:pic>
    <xdr:clientData fLocksWithSheet="0"/>
  </xdr:oneCellAnchor>
  <xdr:oneCellAnchor>
    <xdr:from>
      <xdr:col>36</xdr:col>
      <xdr:colOff>0</xdr:colOff>
      <xdr:row>71</xdr:row>
      <xdr:rowOff>0</xdr:rowOff>
    </xdr:from>
    <xdr:ext cx="6838950" cy="4514850"/>
    <xdr:pic>
      <xdr:nvPicPr>
        <xdr:cNvPr id="0" name="image35.png"/>
        <xdr:cNvPicPr preferRelativeResize="0"/>
      </xdr:nvPicPr>
      <xdr:blipFill>
        <a:blip cstate="print" r:embed="rId43"/>
        <a:stretch>
          <a:fillRect/>
        </a:stretch>
      </xdr:blipFill>
      <xdr:spPr>
        <a:prstGeom prst="rect">
          <a:avLst/>
        </a:prstGeom>
        <a:noFill/>
      </xdr:spPr>
    </xdr:pic>
    <xdr:clientData fLocksWithSheet="0"/>
  </xdr:oneCellAnchor>
  <xdr:oneCellAnchor>
    <xdr:from>
      <xdr:col>36</xdr:col>
      <xdr:colOff>0</xdr:colOff>
      <xdr:row>94</xdr:row>
      <xdr:rowOff>0</xdr:rowOff>
    </xdr:from>
    <xdr:ext cx="6838950" cy="4514850"/>
    <xdr:pic>
      <xdr:nvPicPr>
        <xdr:cNvPr id="0" name="image34.png"/>
        <xdr:cNvPicPr preferRelativeResize="0"/>
      </xdr:nvPicPr>
      <xdr:blipFill>
        <a:blip cstate="print" r:embed="rId44"/>
        <a:stretch>
          <a:fillRect/>
        </a:stretch>
      </xdr:blipFill>
      <xdr:spPr>
        <a:prstGeom prst="rect">
          <a:avLst/>
        </a:prstGeom>
        <a:noFill/>
      </xdr:spPr>
    </xdr:pic>
    <xdr:clientData fLocksWithSheet="0"/>
  </xdr:oneCellAnchor>
  <xdr:oneCellAnchor>
    <xdr:from>
      <xdr:col>36</xdr:col>
      <xdr:colOff>0</xdr:colOff>
      <xdr:row>117</xdr:row>
      <xdr:rowOff>0</xdr:rowOff>
    </xdr:from>
    <xdr:ext cx="6838950" cy="4514850"/>
    <xdr:pic>
      <xdr:nvPicPr>
        <xdr:cNvPr id="0" name="image44.png"/>
        <xdr:cNvPicPr preferRelativeResize="0"/>
      </xdr:nvPicPr>
      <xdr:blipFill>
        <a:blip cstate="print" r:embed="rId45"/>
        <a:stretch>
          <a:fillRect/>
        </a:stretch>
      </xdr:blipFill>
      <xdr:spPr>
        <a:prstGeom prst="rect">
          <a:avLst/>
        </a:prstGeom>
        <a:noFill/>
      </xdr:spPr>
    </xdr:pic>
    <xdr:clientData fLocksWithSheet="0"/>
  </xdr:oneCellAnchor>
  <xdr:oneCellAnchor>
    <xdr:from>
      <xdr:col>60</xdr:col>
      <xdr:colOff>0</xdr:colOff>
      <xdr:row>117</xdr:row>
      <xdr:rowOff>0</xdr:rowOff>
    </xdr:from>
    <xdr:ext cx="6838950" cy="4514850"/>
    <xdr:pic>
      <xdr:nvPicPr>
        <xdr:cNvPr id="0" name="image30.png"/>
        <xdr:cNvPicPr preferRelativeResize="0"/>
      </xdr:nvPicPr>
      <xdr:blipFill>
        <a:blip cstate="print" r:embed="rId46"/>
        <a:stretch>
          <a:fillRect/>
        </a:stretch>
      </xdr:blipFill>
      <xdr:spPr>
        <a:prstGeom prst="rect">
          <a:avLst/>
        </a:prstGeom>
        <a:noFill/>
      </xdr:spPr>
    </xdr:pic>
    <xdr:clientData fLocksWithSheet="0"/>
  </xdr:oneCellAnchor>
  <xdr:oneCellAnchor>
    <xdr:from>
      <xdr:col>60</xdr:col>
      <xdr:colOff>0</xdr:colOff>
      <xdr:row>140</xdr:row>
      <xdr:rowOff>0</xdr:rowOff>
    </xdr:from>
    <xdr:ext cx="6838950" cy="4514850"/>
    <xdr:pic>
      <xdr:nvPicPr>
        <xdr:cNvPr id="0" name="image40.png"/>
        <xdr:cNvPicPr preferRelativeResize="0"/>
      </xdr:nvPicPr>
      <xdr:blipFill>
        <a:blip cstate="print" r:embed="rId47"/>
        <a:stretch>
          <a:fillRect/>
        </a:stretch>
      </xdr:blipFill>
      <xdr:spPr>
        <a:prstGeom prst="rect">
          <a:avLst/>
        </a:prstGeom>
        <a:noFill/>
      </xdr:spPr>
    </xdr:pic>
    <xdr:clientData fLocksWithSheet="0"/>
  </xdr:oneCellAnchor>
  <xdr:oneCellAnchor>
    <xdr:from>
      <xdr:col>60</xdr:col>
      <xdr:colOff>0</xdr:colOff>
      <xdr:row>163</xdr:row>
      <xdr:rowOff>0</xdr:rowOff>
    </xdr:from>
    <xdr:ext cx="6838950" cy="4514850"/>
    <xdr:pic>
      <xdr:nvPicPr>
        <xdr:cNvPr id="0" name="image41.png"/>
        <xdr:cNvPicPr preferRelativeResize="0"/>
      </xdr:nvPicPr>
      <xdr:blipFill>
        <a:blip cstate="print" r:embed="rId48"/>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86"/>
  </cols>
  <sheetData>
    <row r="1">
      <c r="A1" s="1" t="s">
        <v>0</v>
      </c>
    </row>
    <row r="2">
      <c r="A2" s="2" t="s">
        <v>1</v>
      </c>
    </row>
    <row r="3">
      <c r="A3" s="3" t="s">
        <v>2</v>
      </c>
    </row>
    <row r="4">
      <c r="A4" s="2" t="s">
        <v>3</v>
      </c>
    </row>
    <row r="5">
      <c r="A5" s="4" t="s">
        <v>4</v>
      </c>
    </row>
    <row r="6">
      <c r="A6" s="2" t="s">
        <v>5</v>
      </c>
    </row>
    <row r="7">
      <c r="A7" s="2" t="s">
        <v>6</v>
      </c>
    </row>
    <row r="8">
      <c r="A8" s="2" t="s">
        <v>7</v>
      </c>
    </row>
    <row r="9">
      <c r="A9" s="2" t="s">
        <v>8</v>
      </c>
    </row>
    <row r="10">
      <c r="A10" s="5"/>
    </row>
    <row r="11">
      <c r="A11" s="5"/>
    </row>
    <row r="12">
      <c r="A12" s="6"/>
    </row>
    <row r="13">
      <c r="A13" s="6"/>
    </row>
    <row r="14">
      <c r="A14" s="6"/>
    </row>
    <row r="15">
      <c r="A15" s="6"/>
    </row>
    <row r="16">
      <c r="A16" s="6"/>
    </row>
    <row r="17">
      <c r="A17" s="6"/>
    </row>
    <row r="18">
      <c r="A18" s="6"/>
    </row>
    <row r="19">
      <c r="A19" s="6"/>
    </row>
    <row r="20">
      <c r="A20" s="6"/>
    </row>
    <row r="21" ht="15.75" customHeight="1">
      <c r="A21" s="6"/>
    </row>
    <row r="22" ht="15.75" customHeight="1">
      <c r="A22" s="6"/>
    </row>
    <row r="23" ht="15.75" customHeight="1">
      <c r="A23" s="6"/>
    </row>
    <row r="24" ht="15.75" customHeight="1">
      <c r="A24" s="6"/>
    </row>
    <row r="25" ht="15.75" customHeight="1">
      <c r="A25" s="6"/>
    </row>
    <row r="26" ht="15.75" customHeight="1">
      <c r="A26" s="6"/>
    </row>
    <row r="27" ht="15.75" customHeight="1">
      <c r="A27" s="6"/>
    </row>
    <row r="28" ht="15.75" customHeight="1">
      <c r="A28" s="6"/>
    </row>
    <row r="29" ht="15.75" customHeight="1">
      <c r="A29" s="6"/>
    </row>
    <row r="30" ht="15.75" customHeight="1">
      <c r="A30" s="6"/>
    </row>
    <row r="31" ht="15.75" customHeight="1">
      <c r="A31" s="6"/>
    </row>
    <row r="32" ht="15.75" customHeight="1">
      <c r="A32" s="6"/>
    </row>
    <row r="33" ht="15.75" customHeight="1">
      <c r="A33" s="6"/>
    </row>
    <row r="34" ht="15.75" customHeight="1">
      <c r="A34" s="6"/>
    </row>
    <row r="35" ht="15.75" customHeight="1">
      <c r="A35" s="6"/>
    </row>
    <row r="36" ht="15.75" customHeight="1">
      <c r="A36" s="6"/>
    </row>
    <row r="37" ht="15.75" customHeight="1">
      <c r="A37" s="6"/>
    </row>
    <row r="38" ht="15.75" customHeight="1">
      <c r="A38" s="6"/>
    </row>
    <row r="39" ht="15.75" customHeight="1">
      <c r="A39" s="6"/>
    </row>
    <row r="40" ht="15.75" customHeight="1">
      <c r="A40" s="6"/>
    </row>
    <row r="41" ht="15.75" customHeight="1">
      <c r="A41" s="6"/>
    </row>
    <row r="42" ht="15.75" customHeight="1">
      <c r="A42" s="6"/>
    </row>
    <row r="43" ht="15.75" customHeight="1">
      <c r="A43" s="6"/>
    </row>
    <row r="44" ht="15.75" customHeight="1">
      <c r="A44" s="6"/>
    </row>
    <row r="45" ht="15.75" customHeight="1">
      <c r="A45" s="6"/>
    </row>
    <row r="46" ht="15.75" customHeight="1">
      <c r="A46" s="6"/>
    </row>
    <row r="47" ht="15.75" customHeight="1">
      <c r="A47" s="6"/>
    </row>
    <row r="48" ht="15.75" customHeight="1">
      <c r="A48" s="6"/>
    </row>
    <row r="49" ht="15.75" customHeight="1">
      <c r="A49" s="6"/>
    </row>
    <row r="50" ht="15.75" customHeight="1">
      <c r="A50" s="6"/>
    </row>
    <row r="51" ht="15.75" customHeight="1">
      <c r="A51" s="6"/>
    </row>
    <row r="52" ht="15.75" customHeight="1">
      <c r="A52" s="6"/>
    </row>
    <row r="53" ht="15.75" customHeight="1">
      <c r="A53" s="6"/>
    </row>
    <row r="54" ht="15.75" customHeight="1">
      <c r="A54" s="6"/>
    </row>
    <row r="55" ht="15.75" customHeight="1">
      <c r="A55" s="6"/>
    </row>
    <row r="56" ht="15.75" customHeight="1">
      <c r="A56" s="6"/>
    </row>
    <row r="57" ht="15.75" customHeight="1">
      <c r="A57" s="6"/>
    </row>
    <row r="58" ht="15.75" customHeight="1">
      <c r="A58" s="6"/>
    </row>
    <row r="59" ht="15.75" customHeight="1">
      <c r="A59" s="6"/>
    </row>
    <row r="60" ht="15.75" customHeight="1">
      <c r="A60" s="6"/>
    </row>
    <row r="61" ht="15.75" customHeight="1">
      <c r="A61" s="6"/>
    </row>
    <row r="62" ht="15.75" customHeight="1">
      <c r="A62" s="6"/>
    </row>
    <row r="63" ht="15.75" customHeight="1">
      <c r="A63" s="6"/>
    </row>
    <row r="64" ht="15.75" customHeight="1">
      <c r="A64" s="6"/>
    </row>
    <row r="65" ht="15.75" customHeight="1">
      <c r="A65" s="6"/>
    </row>
    <row r="66" ht="15.75" customHeight="1">
      <c r="A66" s="6"/>
    </row>
    <row r="67" ht="15.75" customHeight="1">
      <c r="A67" s="6"/>
    </row>
    <row r="68" ht="15.75" customHeight="1">
      <c r="A68" s="6"/>
    </row>
    <row r="69" ht="15.75" customHeight="1">
      <c r="A69" s="6"/>
    </row>
    <row r="70" ht="15.75" customHeight="1">
      <c r="A70" s="6"/>
    </row>
    <row r="71" ht="15.75" customHeight="1">
      <c r="A71" s="6"/>
    </row>
    <row r="72" ht="15.75" customHeight="1">
      <c r="A72" s="6"/>
    </row>
    <row r="73" ht="15.75" customHeight="1">
      <c r="A73" s="6"/>
    </row>
    <row r="74" ht="15.75" customHeight="1">
      <c r="A74" s="6"/>
    </row>
    <row r="75" ht="15.75" customHeight="1">
      <c r="A75" s="6"/>
    </row>
    <row r="76" ht="15.75" customHeight="1">
      <c r="A76" s="6"/>
    </row>
    <row r="77" ht="15.75" customHeight="1">
      <c r="A77" s="6"/>
    </row>
    <row r="78" ht="15.75" customHeight="1">
      <c r="A78" s="6"/>
    </row>
    <row r="79" ht="15.75" customHeight="1">
      <c r="A79" s="6"/>
    </row>
    <row r="80" ht="15.75" customHeight="1">
      <c r="A80" s="6"/>
    </row>
    <row r="81" ht="15.75" customHeight="1">
      <c r="A81" s="6"/>
    </row>
    <row r="82" ht="15.75" customHeight="1">
      <c r="A82" s="6"/>
    </row>
    <row r="83" ht="15.75" customHeight="1">
      <c r="A83" s="6"/>
    </row>
    <row r="84" ht="15.75" customHeight="1">
      <c r="A84" s="6"/>
    </row>
    <row r="85" ht="15.75" customHeight="1">
      <c r="A85" s="6"/>
    </row>
    <row r="86" ht="15.75" customHeight="1">
      <c r="A86" s="6"/>
    </row>
    <row r="87" ht="15.75" customHeight="1">
      <c r="A87" s="6"/>
    </row>
    <row r="88" ht="15.75" customHeight="1">
      <c r="A88" s="6"/>
    </row>
    <row r="89" ht="15.75" customHeight="1">
      <c r="A89" s="6"/>
    </row>
    <row r="90" ht="15.75" customHeight="1">
      <c r="A90" s="6"/>
    </row>
    <row r="91" ht="15.75" customHeight="1">
      <c r="A91" s="6"/>
    </row>
    <row r="92" ht="15.75" customHeight="1">
      <c r="A92" s="6"/>
    </row>
    <row r="93" ht="15.75" customHeight="1">
      <c r="A93" s="6"/>
    </row>
    <row r="94" ht="15.75" customHeight="1">
      <c r="A94" s="6"/>
    </row>
    <row r="95" ht="15.75" customHeight="1">
      <c r="A95" s="6"/>
    </row>
    <row r="96" ht="15.75" customHeight="1">
      <c r="A96" s="6"/>
    </row>
    <row r="97" ht="15.75" customHeight="1">
      <c r="A97" s="6"/>
    </row>
    <row r="98" ht="15.75" customHeight="1">
      <c r="A98" s="6"/>
    </row>
    <row r="99" ht="15.75" customHeight="1">
      <c r="A99" s="6"/>
    </row>
    <row r="100" ht="15.75" customHeight="1">
      <c r="A100" s="6"/>
    </row>
    <row r="101" ht="15.75" customHeight="1">
      <c r="A101" s="6"/>
    </row>
    <row r="102" ht="15.75" customHeight="1">
      <c r="A102" s="6"/>
    </row>
    <row r="103" ht="15.75" customHeight="1">
      <c r="A103" s="6"/>
    </row>
    <row r="104" ht="15.75" customHeight="1">
      <c r="A104" s="6"/>
    </row>
    <row r="105" ht="15.75" customHeight="1">
      <c r="A105" s="6"/>
    </row>
    <row r="106" ht="15.75" customHeight="1">
      <c r="A106" s="6"/>
    </row>
    <row r="107" ht="15.75" customHeight="1">
      <c r="A107" s="6"/>
    </row>
    <row r="108" ht="15.75" customHeight="1">
      <c r="A108" s="6"/>
    </row>
    <row r="109" ht="15.75" customHeight="1">
      <c r="A109" s="6"/>
    </row>
    <row r="110" ht="15.75" customHeight="1">
      <c r="A110" s="6"/>
    </row>
    <row r="111" ht="15.75" customHeight="1">
      <c r="A111" s="6"/>
    </row>
    <row r="112" ht="15.75" customHeight="1">
      <c r="A112" s="6"/>
    </row>
    <row r="113" ht="15.75" customHeight="1">
      <c r="A113" s="6"/>
    </row>
    <row r="114" ht="15.75" customHeight="1">
      <c r="A114" s="6"/>
    </row>
    <row r="115" ht="15.75" customHeight="1">
      <c r="A115" s="6"/>
    </row>
    <row r="116" ht="15.75" customHeight="1">
      <c r="A116" s="6"/>
    </row>
    <row r="117" ht="15.75" customHeight="1">
      <c r="A117" s="6"/>
    </row>
    <row r="118" ht="15.75" customHeight="1">
      <c r="A118" s="6"/>
    </row>
    <row r="119" ht="15.75" customHeight="1">
      <c r="A119" s="6"/>
    </row>
    <row r="120" ht="15.75" customHeight="1">
      <c r="A120" s="6"/>
    </row>
    <row r="121" ht="15.75" customHeight="1">
      <c r="A121" s="6"/>
    </row>
    <row r="122" ht="15.75" customHeight="1">
      <c r="A122" s="6"/>
    </row>
    <row r="123" ht="15.75" customHeight="1">
      <c r="A123" s="6"/>
    </row>
    <row r="124" ht="15.75" customHeight="1">
      <c r="A124" s="6"/>
    </row>
    <row r="125" ht="15.75" customHeight="1">
      <c r="A125" s="6"/>
    </row>
    <row r="126" ht="15.75" customHeight="1">
      <c r="A126" s="6"/>
    </row>
    <row r="127" ht="15.75" customHeight="1">
      <c r="A127" s="6"/>
    </row>
    <row r="128" ht="15.75" customHeight="1">
      <c r="A128" s="6"/>
    </row>
    <row r="129" ht="15.75" customHeight="1">
      <c r="A129" s="6"/>
    </row>
    <row r="130" ht="15.75" customHeight="1">
      <c r="A130" s="6"/>
    </row>
    <row r="131" ht="15.75" customHeight="1">
      <c r="A131" s="6"/>
    </row>
    <row r="132" ht="15.75" customHeight="1">
      <c r="A132" s="6"/>
    </row>
    <row r="133" ht="15.75" customHeight="1">
      <c r="A133" s="6"/>
    </row>
    <row r="134" ht="15.75" customHeight="1">
      <c r="A134" s="6"/>
    </row>
    <row r="135" ht="15.75" customHeight="1">
      <c r="A135" s="6"/>
    </row>
    <row r="136" ht="15.75" customHeight="1">
      <c r="A136" s="6"/>
    </row>
    <row r="137" ht="15.75" customHeight="1">
      <c r="A137" s="6"/>
    </row>
    <row r="138" ht="15.75" customHeight="1">
      <c r="A138" s="6"/>
    </row>
    <row r="139" ht="15.75" customHeight="1">
      <c r="A139" s="6"/>
    </row>
    <row r="140" ht="15.75" customHeight="1">
      <c r="A140" s="6"/>
    </row>
    <row r="141" ht="15.75" customHeight="1">
      <c r="A141" s="6"/>
    </row>
    <row r="142" ht="15.75" customHeight="1">
      <c r="A142" s="6"/>
    </row>
    <row r="143" ht="15.75" customHeight="1">
      <c r="A143" s="6"/>
    </row>
    <row r="144" ht="15.75" customHeight="1">
      <c r="A144" s="6"/>
    </row>
    <row r="145" ht="15.75" customHeight="1">
      <c r="A145" s="6"/>
    </row>
    <row r="146" ht="15.75" customHeight="1">
      <c r="A146" s="6"/>
    </row>
    <row r="147" ht="15.75" customHeight="1">
      <c r="A147" s="6"/>
    </row>
    <row r="148" ht="15.75" customHeight="1">
      <c r="A148" s="6"/>
    </row>
    <row r="149" ht="15.75" customHeight="1">
      <c r="A149" s="6"/>
    </row>
    <row r="150" ht="15.75" customHeight="1">
      <c r="A150" s="6"/>
    </row>
    <row r="151" ht="15.75" customHeight="1">
      <c r="A151" s="6"/>
    </row>
    <row r="152" ht="15.75" customHeight="1">
      <c r="A152" s="6"/>
    </row>
    <row r="153" ht="15.75" customHeight="1">
      <c r="A153" s="6"/>
    </row>
    <row r="154" ht="15.75" customHeight="1">
      <c r="A154" s="6"/>
    </row>
    <row r="155" ht="15.75" customHeight="1">
      <c r="A155" s="6"/>
    </row>
    <row r="156" ht="15.75" customHeight="1">
      <c r="A156" s="6"/>
    </row>
    <row r="157" ht="15.75" customHeight="1">
      <c r="A157" s="6"/>
    </row>
    <row r="158" ht="15.75" customHeight="1">
      <c r="A158" s="6"/>
    </row>
    <row r="159" ht="15.75" customHeight="1">
      <c r="A159" s="6"/>
    </row>
    <row r="160" ht="15.75" customHeight="1">
      <c r="A160" s="6"/>
    </row>
    <row r="161" ht="15.75" customHeight="1">
      <c r="A161" s="6"/>
    </row>
    <row r="162" ht="15.75" customHeight="1">
      <c r="A162" s="6"/>
    </row>
    <row r="163" ht="15.75" customHeight="1">
      <c r="A163" s="6"/>
    </row>
    <row r="164" ht="15.75" customHeight="1">
      <c r="A164" s="6"/>
    </row>
    <row r="165" ht="15.75" customHeight="1">
      <c r="A165" s="6"/>
    </row>
    <row r="166" ht="15.75" customHeight="1">
      <c r="A166" s="6"/>
    </row>
    <row r="167" ht="15.75" customHeight="1">
      <c r="A167" s="6"/>
    </row>
    <row r="168" ht="15.75" customHeight="1">
      <c r="A168" s="6"/>
    </row>
    <row r="169" ht="15.75" customHeight="1">
      <c r="A169" s="6"/>
    </row>
    <row r="170" ht="15.75" customHeight="1">
      <c r="A170" s="6"/>
    </row>
    <row r="171" ht="15.75" customHeight="1">
      <c r="A171" s="6"/>
    </row>
    <row r="172" ht="15.75" customHeight="1">
      <c r="A172" s="6"/>
    </row>
    <row r="173" ht="15.75" customHeight="1">
      <c r="A173" s="6"/>
    </row>
    <row r="174" ht="15.75" customHeight="1">
      <c r="A174" s="6"/>
    </row>
    <row r="175" ht="15.75" customHeight="1">
      <c r="A175" s="6"/>
    </row>
    <row r="176" ht="15.75" customHeight="1">
      <c r="A176" s="6"/>
    </row>
    <row r="177" ht="15.75" customHeight="1">
      <c r="A177" s="6"/>
    </row>
    <row r="178" ht="15.75" customHeight="1">
      <c r="A178" s="6"/>
    </row>
    <row r="179" ht="15.75" customHeight="1">
      <c r="A179" s="6"/>
    </row>
    <row r="180" ht="15.75" customHeight="1">
      <c r="A180" s="6"/>
    </row>
    <row r="181" ht="15.75" customHeight="1">
      <c r="A181" s="6"/>
    </row>
    <row r="182" ht="15.75" customHeight="1">
      <c r="A182" s="6"/>
    </row>
    <row r="183" ht="15.75" customHeight="1">
      <c r="A183" s="6"/>
    </row>
    <row r="184" ht="15.75" customHeight="1">
      <c r="A184" s="6"/>
    </row>
    <row r="185" ht="15.75" customHeight="1">
      <c r="A185" s="6"/>
    </row>
    <row r="186" ht="15.75" customHeight="1">
      <c r="A186" s="6"/>
    </row>
    <row r="187" ht="15.75" customHeight="1">
      <c r="A187" s="6"/>
    </row>
    <row r="188" ht="15.75" customHeight="1">
      <c r="A188" s="6"/>
    </row>
    <row r="189" ht="15.75" customHeight="1">
      <c r="A189" s="6"/>
    </row>
    <row r="190" ht="15.75" customHeight="1">
      <c r="A190" s="6"/>
    </row>
    <row r="191" ht="15.75" customHeight="1">
      <c r="A191" s="6"/>
    </row>
    <row r="192" ht="15.75" customHeight="1">
      <c r="A192" s="6"/>
    </row>
    <row r="193" ht="15.75" customHeight="1">
      <c r="A193" s="6"/>
    </row>
    <row r="194" ht="15.75" customHeight="1">
      <c r="A194" s="6"/>
    </row>
    <row r="195" ht="15.75" customHeight="1">
      <c r="A195" s="6"/>
    </row>
    <row r="196" ht="15.75" customHeight="1">
      <c r="A196" s="6"/>
    </row>
    <row r="197" ht="15.75" customHeight="1">
      <c r="A197" s="6"/>
    </row>
    <row r="198" ht="15.75" customHeight="1">
      <c r="A198" s="6"/>
    </row>
    <row r="199" ht="15.75" customHeight="1">
      <c r="A199" s="6"/>
    </row>
    <row r="200" ht="15.75" customHeight="1">
      <c r="A200" s="6"/>
    </row>
    <row r="201" ht="15.75" customHeight="1">
      <c r="A201" s="6"/>
    </row>
    <row r="202" ht="15.75" customHeight="1">
      <c r="A202" s="6"/>
    </row>
    <row r="203" ht="15.75" customHeight="1">
      <c r="A203" s="6"/>
    </row>
    <row r="204" ht="15.75" customHeight="1">
      <c r="A204" s="6"/>
    </row>
    <row r="205" ht="15.75" customHeight="1">
      <c r="A205" s="6"/>
    </row>
    <row r="206" ht="15.75" customHeight="1">
      <c r="A206" s="6"/>
    </row>
    <row r="207" ht="15.75" customHeight="1">
      <c r="A207" s="6"/>
    </row>
    <row r="208" ht="15.75" customHeight="1">
      <c r="A208" s="6"/>
    </row>
    <row r="209" ht="15.75" customHeight="1">
      <c r="A209" s="6"/>
    </row>
    <row r="210" ht="15.75" customHeight="1">
      <c r="A210" s="6"/>
    </row>
    <row r="211" ht="15.75" customHeight="1">
      <c r="A211" s="6"/>
    </row>
    <row r="212" ht="15.75" customHeight="1">
      <c r="A212" s="6"/>
    </row>
    <row r="213" ht="15.75" customHeight="1">
      <c r="A213" s="6"/>
    </row>
    <row r="214" ht="15.75" customHeight="1">
      <c r="A214" s="6"/>
    </row>
    <row r="215" ht="15.75" customHeight="1">
      <c r="A215" s="6"/>
    </row>
    <row r="216" ht="15.75" customHeight="1">
      <c r="A216" s="6"/>
    </row>
    <row r="217" ht="15.75" customHeight="1">
      <c r="A217" s="6"/>
    </row>
    <row r="218" ht="15.75" customHeight="1">
      <c r="A218" s="6"/>
    </row>
    <row r="219" ht="15.75" customHeight="1">
      <c r="A219" s="6"/>
    </row>
    <row r="220" ht="15.75" customHeight="1">
      <c r="A220" s="6"/>
    </row>
    <row r="221" ht="15.75" customHeight="1">
      <c r="A221" s="6"/>
    </row>
    <row r="222" ht="15.75" customHeight="1">
      <c r="A222" s="6"/>
    </row>
    <row r="223" ht="15.75" customHeight="1">
      <c r="A223" s="6"/>
    </row>
    <row r="224" ht="15.75" customHeight="1">
      <c r="A224" s="6"/>
    </row>
    <row r="225" ht="15.75" customHeight="1">
      <c r="A225" s="6"/>
    </row>
    <row r="226" ht="15.75" customHeight="1">
      <c r="A226" s="6"/>
    </row>
    <row r="227" ht="15.75" customHeight="1">
      <c r="A227" s="6"/>
    </row>
    <row r="228" ht="15.75" customHeight="1">
      <c r="A228" s="6"/>
    </row>
    <row r="229" ht="15.75" customHeight="1">
      <c r="A229" s="6"/>
    </row>
    <row r="230" ht="15.75" customHeight="1">
      <c r="A230" s="6"/>
    </row>
    <row r="231" ht="15.75" customHeight="1">
      <c r="A231" s="6"/>
    </row>
    <row r="232" ht="15.75" customHeight="1">
      <c r="A232" s="6"/>
    </row>
    <row r="233" ht="15.75" customHeight="1">
      <c r="A233" s="6"/>
    </row>
    <row r="234" ht="15.75" customHeight="1">
      <c r="A234" s="6"/>
    </row>
    <row r="235" ht="15.75" customHeight="1">
      <c r="A235" s="6"/>
    </row>
    <row r="236" ht="15.75" customHeight="1">
      <c r="A236" s="6"/>
    </row>
    <row r="237" ht="15.75" customHeight="1">
      <c r="A237" s="6"/>
    </row>
    <row r="238" ht="15.75" customHeight="1">
      <c r="A238" s="6"/>
    </row>
    <row r="239" ht="15.75" customHeight="1">
      <c r="A239" s="6"/>
    </row>
    <row r="240" ht="15.75" customHeight="1">
      <c r="A240" s="6"/>
    </row>
    <row r="241" ht="15.75" customHeight="1">
      <c r="A241" s="6"/>
    </row>
    <row r="242" ht="15.75" customHeight="1">
      <c r="A242" s="6"/>
    </row>
    <row r="243" ht="15.75" customHeight="1">
      <c r="A243" s="6"/>
    </row>
    <row r="244" ht="15.75" customHeight="1">
      <c r="A244" s="6"/>
    </row>
    <row r="245" ht="15.75" customHeight="1">
      <c r="A245" s="6"/>
    </row>
    <row r="246" ht="15.75" customHeight="1">
      <c r="A246" s="6"/>
    </row>
    <row r="247" ht="15.75" customHeight="1">
      <c r="A247" s="6"/>
    </row>
    <row r="248" ht="15.75" customHeight="1">
      <c r="A248" s="6"/>
    </row>
    <row r="249" ht="15.75" customHeight="1">
      <c r="A249" s="6"/>
    </row>
    <row r="250" ht="15.75" customHeight="1">
      <c r="A250" s="6"/>
    </row>
    <row r="251" ht="15.75" customHeight="1">
      <c r="A251" s="6"/>
    </row>
    <row r="252" ht="15.75" customHeight="1">
      <c r="A252" s="6"/>
    </row>
    <row r="253" ht="15.75" customHeight="1">
      <c r="A253" s="6"/>
    </row>
    <row r="254" ht="15.75" customHeight="1">
      <c r="A254" s="6"/>
    </row>
    <row r="255" ht="15.75" customHeight="1">
      <c r="A255" s="6"/>
    </row>
    <row r="256" ht="15.75" customHeight="1">
      <c r="A256" s="6"/>
    </row>
    <row r="257" ht="15.75" customHeight="1">
      <c r="A257" s="6"/>
    </row>
    <row r="258" ht="15.75" customHeight="1">
      <c r="A258" s="6"/>
    </row>
    <row r="259" ht="15.75" customHeight="1">
      <c r="A259" s="6"/>
    </row>
    <row r="260" ht="15.75" customHeight="1">
      <c r="A260" s="6"/>
    </row>
    <row r="261" ht="15.75" customHeight="1">
      <c r="A261" s="6"/>
    </row>
    <row r="262" ht="15.75" customHeight="1">
      <c r="A262" s="6"/>
    </row>
    <row r="263" ht="15.75" customHeight="1">
      <c r="A263" s="6"/>
    </row>
    <row r="264" ht="15.75" customHeight="1">
      <c r="A264" s="6"/>
    </row>
    <row r="265" ht="15.75" customHeight="1">
      <c r="A265" s="6"/>
    </row>
    <row r="266" ht="15.75" customHeight="1">
      <c r="A266" s="6"/>
    </row>
    <row r="267" ht="15.75" customHeight="1">
      <c r="A267" s="6"/>
    </row>
    <row r="268" ht="15.75" customHeight="1">
      <c r="A268" s="6"/>
    </row>
    <row r="269" ht="15.75" customHeight="1">
      <c r="A269" s="6"/>
    </row>
    <row r="270" ht="15.75" customHeight="1">
      <c r="A270" s="6"/>
    </row>
    <row r="271" ht="15.75" customHeight="1">
      <c r="A271" s="6"/>
    </row>
    <row r="272" ht="15.75" customHeight="1">
      <c r="A272" s="6"/>
    </row>
    <row r="273" ht="15.75" customHeight="1">
      <c r="A273" s="6"/>
    </row>
    <row r="274" ht="15.75" customHeight="1">
      <c r="A274" s="6"/>
    </row>
    <row r="275" ht="15.75" customHeight="1">
      <c r="A275" s="6"/>
    </row>
    <row r="276" ht="15.75" customHeight="1">
      <c r="A276" s="6"/>
    </row>
    <row r="277" ht="15.75" customHeight="1">
      <c r="A277" s="6"/>
    </row>
    <row r="278" ht="15.75" customHeight="1">
      <c r="A278" s="6"/>
    </row>
    <row r="279" ht="15.75" customHeight="1">
      <c r="A279" s="6"/>
    </row>
    <row r="280" ht="15.75" customHeight="1">
      <c r="A280" s="6"/>
    </row>
    <row r="281" ht="15.75" customHeight="1">
      <c r="A281" s="6"/>
    </row>
    <row r="282" ht="15.75" customHeight="1">
      <c r="A282" s="6"/>
    </row>
    <row r="283" ht="15.75" customHeight="1">
      <c r="A283" s="6"/>
    </row>
    <row r="284" ht="15.75" customHeight="1">
      <c r="A284" s="6"/>
    </row>
    <row r="285" ht="15.75" customHeight="1">
      <c r="A285" s="6"/>
    </row>
    <row r="286" ht="15.75" customHeight="1">
      <c r="A286" s="6"/>
    </row>
    <row r="287" ht="15.75" customHeight="1">
      <c r="A287" s="6"/>
    </row>
    <row r="288" ht="15.75" customHeight="1">
      <c r="A288" s="6"/>
    </row>
    <row r="289" ht="15.75" customHeight="1">
      <c r="A289" s="6"/>
    </row>
    <row r="290" ht="15.75" customHeight="1">
      <c r="A290" s="6"/>
    </row>
    <row r="291" ht="15.75" customHeight="1">
      <c r="A291" s="6"/>
    </row>
    <row r="292" ht="15.75" customHeight="1">
      <c r="A292" s="6"/>
    </row>
    <row r="293" ht="15.75" customHeight="1">
      <c r="A293" s="6"/>
    </row>
    <row r="294" ht="15.75" customHeight="1">
      <c r="A294" s="6"/>
    </row>
    <row r="295" ht="15.75" customHeight="1">
      <c r="A295" s="6"/>
    </row>
    <row r="296" ht="15.75" customHeight="1">
      <c r="A296" s="6"/>
    </row>
    <row r="297" ht="15.75" customHeight="1">
      <c r="A297" s="6"/>
    </row>
    <row r="298" ht="15.75" customHeight="1">
      <c r="A298" s="6"/>
    </row>
    <row r="299" ht="15.75" customHeight="1">
      <c r="A299" s="6"/>
    </row>
    <row r="300" ht="15.75" customHeight="1">
      <c r="A300" s="6"/>
    </row>
    <row r="301" ht="15.75" customHeight="1">
      <c r="A301" s="6"/>
    </row>
    <row r="302" ht="15.75" customHeight="1">
      <c r="A302" s="6"/>
    </row>
    <row r="303" ht="15.75" customHeight="1">
      <c r="A303" s="6"/>
    </row>
    <row r="304" ht="15.75" customHeight="1">
      <c r="A304" s="6"/>
    </row>
    <row r="305" ht="15.75" customHeight="1">
      <c r="A305" s="6"/>
    </row>
    <row r="306" ht="15.75" customHeight="1">
      <c r="A306" s="6"/>
    </row>
    <row r="307" ht="15.75" customHeight="1">
      <c r="A307" s="6"/>
    </row>
    <row r="308" ht="15.75" customHeight="1">
      <c r="A308" s="6"/>
    </row>
    <row r="309" ht="15.75" customHeight="1">
      <c r="A309" s="6"/>
    </row>
    <row r="310" ht="15.75" customHeight="1">
      <c r="A310" s="6"/>
    </row>
    <row r="311" ht="15.75" customHeight="1">
      <c r="A311" s="6"/>
    </row>
    <row r="312" ht="15.75" customHeight="1">
      <c r="A312" s="6"/>
    </row>
    <row r="313" ht="15.75" customHeight="1">
      <c r="A313" s="6"/>
    </row>
    <row r="314" ht="15.75" customHeight="1">
      <c r="A314" s="6"/>
    </row>
    <row r="315" ht="15.75" customHeight="1">
      <c r="A315" s="6"/>
    </row>
    <row r="316" ht="15.75" customHeight="1">
      <c r="A316" s="6"/>
    </row>
    <row r="317" ht="15.75" customHeight="1">
      <c r="A317" s="6"/>
    </row>
    <row r="318" ht="15.75" customHeight="1">
      <c r="A318" s="6"/>
    </row>
    <row r="319" ht="15.75" customHeight="1">
      <c r="A319" s="6"/>
    </row>
    <row r="320" ht="15.75" customHeight="1">
      <c r="A320" s="6"/>
    </row>
    <row r="321" ht="15.75" customHeight="1">
      <c r="A321" s="6"/>
    </row>
    <row r="322" ht="15.75" customHeight="1">
      <c r="A322" s="6"/>
    </row>
    <row r="323" ht="15.75" customHeight="1">
      <c r="A323" s="6"/>
    </row>
    <row r="324" ht="15.75" customHeight="1">
      <c r="A324" s="6"/>
    </row>
    <row r="325" ht="15.75" customHeight="1">
      <c r="A325" s="6"/>
    </row>
    <row r="326" ht="15.75" customHeight="1">
      <c r="A326" s="6"/>
    </row>
    <row r="327" ht="15.75" customHeight="1">
      <c r="A327" s="6"/>
    </row>
    <row r="328" ht="15.75" customHeight="1">
      <c r="A328" s="6"/>
    </row>
    <row r="329" ht="15.75" customHeight="1">
      <c r="A329" s="6"/>
    </row>
    <row r="330" ht="15.75" customHeight="1">
      <c r="A330" s="6"/>
    </row>
    <row r="331" ht="15.75" customHeight="1">
      <c r="A331" s="6"/>
    </row>
    <row r="332" ht="15.75" customHeight="1">
      <c r="A332" s="6"/>
    </row>
    <row r="333" ht="15.75" customHeight="1">
      <c r="A333" s="6"/>
    </row>
    <row r="334" ht="15.75" customHeight="1">
      <c r="A334" s="6"/>
    </row>
    <row r="335" ht="15.75" customHeight="1">
      <c r="A335" s="6"/>
    </row>
    <row r="336" ht="15.75" customHeight="1">
      <c r="A336" s="6"/>
    </row>
    <row r="337" ht="15.75" customHeight="1">
      <c r="A337" s="6"/>
    </row>
    <row r="338" ht="15.75" customHeight="1">
      <c r="A338" s="6"/>
    </row>
    <row r="339" ht="15.75" customHeight="1">
      <c r="A339" s="6"/>
    </row>
    <row r="340" ht="15.75" customHeight="1">
      <c r="A340" s="6"/>
    </row>
    <row r="341" ht="15.75" customHeight="1">
      <c r="A341" s="6"/>
    </row>
    <row r="342" ht="15.75" customHeight="1">
      <c r="A342" s="6"/>
    </row>
    <row r="343" ht="15.75" customHeight="1">
      <c r="A343" s="6"/>
    </row>
    <row r="344" ht="15.75" customHeight="1">
      <c r="A344" s="6"/>
    </row>
    <row r="345" ht="15.75" customHeight="1">
      <c r="A345" s="6"/>
    </row>
    <row r="346" ht="15.75" customHeight="1">
      <c r="A346" s="6"/>
    </row>
    <row r="347" ht="15.75" customHeight="1">
      <c r="A347" s="6"/>
    </row>
    <row r="348" ht="15.75" customHeight="1">
      <c r="A348" s="6"/>
    </row>
    <row r="349" ht="15.75" customHeight="1">
      <c r="A349" s="6"/>
    </row>
    <row r="350" ht="15.75" customHeight="1">
      <c r="A350" s="6"/>
    </row>
    <row r="351" ht="15.75" customHeight="1">
      <c r="A351" s="6"/>
    </row>
    <row r="352" ht="15.75" customHeight="1">
      <c r="A352" s="6"/>
    </row>
    <row r="353" ht="15.75" customHeight="1">
      <c r="A353" s="6"/>
    </row>
    <row r="354" ht="15.75" customHeight="1">
      <c r="A354" s="6"/>
    </row>
    <row r="355" ht="15.75" customHeight="1">
      <c r="A355" s="6"/>
    </row>
    <row r="356" ht="15.75" customHeight="1">
      <c r="A356" s="6"/>
    </row>
    <row r="357" ht="15.75" customHeight="1">
      <c r="A357" s="6"/>
    </row>
    <row r="358" ht="15.75" customHeight="1">
      <c r="A358" s="6"/>
    </row>
    <row r="359" ht="15.75" customHeight="1">
      <c r="A359" s="6"/>
    </row>
    <row r="360" ht="15.75" customHeight="1">
      <c r="A360" s="6"/>
    </row>
    <row r="361" ht="15.75" customHeight="1">
      <c r="A361" s="6"/>
    </row>
    <row r="362" ht="15.75" customHeight="1">
      <c r="A362" s="6"/>
    </row>
    <row r="363" ht="15.75" customHeight="1">
      <c r="A363" s="6"/>
    </row>
    <row r="364" ht="15.75" customHeight="1">
      <c r="A364" s="6"/>
    </row>
    <row r="365" ht="15.75" customHeight="1">
      <c r="A365" s="6"/>
    </row>
    <row r="366" ht="15.75" customHeight="1">
      <c r="A366" s="6"/>
    </row>
    <row r="367" ht="15.75" customHeight="1">
      <c r="A367" s="6"/>
    </row>
    <row r="368" ht="15.75" customHeight="1">
      <c r="A368" s="6"/>
    </row>
    <row r="369" ht="15.75" customHeight="1">
      <c r="A369" s="6"/>
    </row>
    <row r="370" ht="15.75" customHeight="1">
      <c r="A370" s="6"/>
    </row>
    <row r="371" ht="15.75" customHeight="1">
      <c r="A371" s="6"/>
    </row>
    <row r="372" ht="15.75" customHeight="1">
      <c r="A372" s="6"/>
    </row>
    <row r="373" ht="15.75" customHeight="1">
      <c r="A373" s="6"/>
    </row>
    <row r="374" ht="15.75" customHeight="1">
      <c r="A374" s="6"/>
    </row>
    <row r="375" ht="15.75" customHeight="1">
      <c r="A375" s="6"/>
    </row>
    <row r="376" ht="15.75" customHeight="1">
      <c r="A376" s="6"/>
    </row>
    <row r="377" ht="15.75" customHeight="1">
      <c r="A377" s="6"/>
    </row>
    <row r="378" ht="15.75" customHeight="1">
      <c r="A378" s="6"/>
    </row>
    <row r="379" ht="15.75" customHeight="1">
      <c r="A379" s="6"/>
    </row>
    <row r="380" ht="15.75" customHeight="1">
      <c r="A380" s="6"/>
    </row>
    <row r="381" ht="15.75" customHeight="1">
      <c r="A381" s="6"/>
    </row>
    <row r="382" ht="15.75" customHeight="1">
      <c r="A382" s="6"/>
    </row>
    <row r="383" ht="15.75" customHeight="1">
      <c r="A383" s="6"/>
    </row>
    <row r="384" ht="15.75" customHeight="1">
      <c r="A384" s="6"/>
    </row>
    <row r="385" ht="15.75" customHeight="1">
      <c r="A385" s="6"/>
    </row>
    <row r="386" ht="15.75" customHeight="1">
      <c r="A386" s="6"/>
    </row>
    <row r="387" ht="15.75" customHeight="1">
      <c r="A387" s="6"/>
    </row>
    <row r="388" ht="15.75" customHeight="1">
      <c r="A388" s="6"/>
    </row>
    <row r="389" ht="15.75" customHeight="1">
      <c r="A389" s="6"/>
    </row>
    <row r="390" ht="15.75" customHeight="1">
      <c r="A390" s="6"/>
    </row>
    <row r="391" ht="15.75" customHeight="1">
      <c r="A391" s="6"/>
    </row>
    <row r="392" ht="15.75" customHeight="1">
      <c r="A392" s="6"/>
    </row>
    <row r="393" ht="15.75" customHeight="1">
      <c r="A393" s="6"/>
    </row>
    <row r="394" ht="15.75" customHeight="1">
      <c r="A394" s="6"/>
    </row>
    <row r="395" ht="15.75" customHeight="1">
      <c r="A395" s="6"/>
    </row>
    <row r="396" ht="15.75" customHeight="1">
      <c r="A396" s="6"/>
    </row>
    <row r="397" ht="15.75" customHeight="1">
      <c r="A397" s="6"/>
    </row>
    <row r="398" ht="15.75" customHeight="1">
      <c r="A398" s="6"/>
    </row>
    <row r="399" ht="15.75" customHeight="1">
      <c r="A399" s="6"/>
    </row>
    <row r="400" ht="15.75" customHeight="1">
      <c r="A400" s="6"/>
    </row>
    <row r="401" ht="15.75" customHeight="1">
      <c r="A401" s="6"/>
    </row>
    <row r="402" ht="15.75" customHeight="1">
      <c r="A402" s="6"/>
    </row>
    <row r="403" ht="15.75" customHeight="1">
      <c r="A403" s="6"/>
    </row>
    <row r="404" ht="15.75" customHeight="1">
      <c r="A404" s="6"/>
    </row>
    <row r="405" ht="15.75" customHeight="1">
      <c r="A405" s="6"/>
    </row>
    <row r="406" ht="15.75" customHeight="1">
      <c r="A406" s="6"/>
    </row>
    <row r="407" ht="15.75" customHeight="1">
      <c r="A407" s="6"/>
    </row>
    <row r="408" ht="15.75" customHeight="1">
      <c r="A408" s="6"/>
    </row>
    <row r="409" ht="15.75" customHeight="1">
      <c r="A409" s="6"/>
    </row>
    <row r="410" ht="15.75" customHeight="1">
      <c r="A410" s="6"/>
    </row>
    <row r="411" ht="15.75" customHeight="1">
      <c r="A411" s="6"/>
    </row>
    <row r="412" ht="15.75" customHeight="1">
      <c r="A412" s="6"/>
    </row>
    <row r="413" ht="15.75" customHeight="1">
      <c r="A413" s="6"/>
    </row>
    <row r="414" ht="15.75" customHeight="1">
      <c r="A414" s="6"/>
    </row>
    <row r="415" ht="15.75" customHeight="1">
      <c r="A415" s="6"/>
    </row>
    <row r="416" ht="15.75" customHeight="1">
      <c r="A416" s="6"/>
    </row>
    <row r="417" ht="15.75" customHeight="1">
      <c r="A417" s="6"/>
    </row>
    <row r="418" ht="15.75" customHeight="1">
      <c r="A418" s="6"/>
    </row>
    <row r="419" ht="15.75" customHeight="1">
      <c r="A419" s="6"/>
    </row>
    <row r="420" ht="15.75" customHeight="1">
      <c r="A420" s="6"/>
    </row>
    <row r="421" ht="15.75" customHeight="1">
      <c r="A421" s="6"/>
    </row>
    <row r="422" ht="15.75" customHeight="1">
      <c r="A422" s="6"/>
    </row>
    <row r="423" ht="15.75" customHeight="1">
      <c r="A423" s="6"/>
    </row>
    <row r="424" ht="15.75" customHeight="1">
      <c r="A424" s="6"/>
    </row>
    <row r="425" ht="15.75" customHeight="1">
      <c r="A425" s="6"/>
    </row>
    <row r="426" ht="15.75" customHeight="1">
      <c r="A426" s="6"/>
    </row>
    <row r="427" ht="15.75" customHeight="1">
      <c r="A427" s="6"/>
    </row>
    <row r="428" ht="15.75" customHeight="1">
      <c r="A428" s="6"/>
    </row>
    <row r="429" ht="15.75" customHeight="1">
      <c r="A429" s="6"/>
    </row>
    <row r="430" ht="15.75" customHeight="1">
      <c r="A430" s="6"/>
    </row>
    <row r="431" ht="15.75" customHeight="1">
      <c r="A431" s="6"/>
    </row>
    <row r="432" ht="15.75" customHeight="1">
      <c r="A432" s="6"/>
    </row>
    <row r="433" ht="15.75" customHeight="1">
      <c r="A433" s="6"/>
    </row>
    <row r="434" ht="15.75" customHeight="1">
      <c r="A434" s="6"/>
    </row>
    <row r="435" ht="15.75" customHeight="1">
      <c r="A435" s="6"/>
    </row>
    <row r="436" ht="15.75" customHeight="1">
      <c r="A436" s="6"/>
    </row>
    <row r="437" ht="15.75" customHeight="1">
      <c r="A437" s="6"/>
    </row>
    <row r="438" ht="15.75" customHeight="1">
      <c r="A438" s="6"/>
    </row>
    <row r="439" ht="15.75" customHeight="1">
      <c r="A439" s="6"/>
    </row>
    <row r="440" ht="15.75" customHeight="1">
      <c r="A440" s="6"/>
    </row>
    <row r="441" ht="15.75" customHeight="1">
      <c r="A441" s="6"/>
    </row>
    <row r="442" ht="15.75" customHeight="1">
      <c r="A442" s="6"/>
    </row>
    <row r="443" ht="15.75" customHeight="1">
      <c r="A443" s="6"/>
    </row>
    <row r="444" ht="15.75" customHeight="1">
      <c r="A444" s="6"/>
    </row>
    <row r="445" ht="15.75" customHeight="1">
      <c r="A445" s="6"/>
    </row>
    <row r="446" ht="15.75" customHeight="1">
      <c r="A446" s="6"/>
    </row>
    <row r="447" ht="15.75" customHeight="1">
      <c r="A447" s="6"/>
    </row>
    <row r="448" ht="15.75" customHeight="1">
      <c r="A448" s="6"/>
    </row>
    <row r="449" ht="15.75" customHeight="1">
      <c r="A449" s="6"/>
    </row>
    <row r="450" ht="15.75" customHeight="1">
      <c r="A450" s="6"/>
    </row>
    <row r="451" ht="15.75" customHeight="1">
      <c r="A451" s="6"/>
    </row>
    <row r="452" ht="15.75" customHeight="1">
      <c r="A452" s="6"/>
    </row>
    <row r="453" ht="15.75" customHeight="1">
      <c r="A453" s="6"/>
    </row>
    <row r="454" ht="15.75" customHeight="1">
      <c r="A454" s="6"/>
    </row>
    <row r="455" ht="15.75" customHeight="1">
      <c r="A455" s="6"/>
    </row>
    <row r="456" ht="15.75" customHeight="1">
      <c r="A456" s="6"/>
    </row>
    <row r="457" ht="15.75" customHeight="1">
      <c r="A457" s="6"/>
    </row>
    <row r="458" ht="15.75" customHeight="1">
      <c r="A458" s="6"/>
    </row>
    <row r="459" ht="15.75" customHeight="1">
      <c r="A459" s="6"/>
    </row>
    <row r="460" ht="15.75" customHeight="1">
      <c r="A460" s="6"/>
    </row>
    <row r="461" ht="15.75" customHeight="1">
      <c r="A461" s="6"/>
    </row>
    <row r="462" ht="15.75" customHeight="1">
      <c r="A462" s="6"/>
    </row>
    <row r="463" ht="15.75" customHeight="1">
      <c r="A463" s="6"/>
    </row>
    <row r="464" ht="15.75" customHeight="1">
      <c r="A464" s="6"/>
    </row>
    <row r="465" ht="15.75" customHeight="1">
      <c r="A465" s="6"/>
    </row>
    <row r="466" ht="15.75" customHeight="1">
      <c r="A466" s="6"/>
    </row>
    <row r="467" ht="15.75" customHeight="1">
      <c r="A467" s="6"/>
    </row>
    <row r="468" ht="15.75" customHeight="1">
      <c r="A468" s="6"/>
    </row>
    <row r="469" ht="15.75" customHeight="1">
      <c r="A469" s="6"/>
    </row>
    <row r="470" ht="15.75" customHeight="1">
      <c r="A470" s="6"/>
    </row>
    <row r="471" ht="15.75" customHeight="1">
      <c r="A471" s="6"/>
    </row>
    <row r="472" ht="15.75" customHeight="1">
      <c r="A472" s="6"/>
    </row>
    <row r="473" ht="15.75" customHeight="1">
      <c r="A473" s="6"/>
    </row>
    <row r="474" ht="15.75" customHeight="1">
      <c r="A474" s="6"/>
    </row>
    <row r="475" ht="15.75" customHeight="1">
      <c r="A475" s="6"/>
    </row>
    <row r="476" ht="15.75" customHeight="1">
      <c r="A476" s="6"/>
    </row>
    <row r="477" ht="15.75" customHeight="1">
      <c r="A477" s="6"/>
    </row>
    <row r="478" ht="15.75" customHeight="1">
      <c r="A478" s="6"/>
    </row>
    <row r="479" ht="15.75" customHeight="1">
      <c r="A479" s="6"/>
    </row>
    <row r="480" ht="15.75" customHeight="1">
      <c r="A480" s="6"/>
    </row>
    <row r="481" ht="15.75" customHeight="1">
      <c r="A481" s="6"/>
    </row>
    <row r="482" ht="15.75" customHeight="1">
      <c r="A482" s="6"/>
    </row>
    <row r="483" ht="15.75" customHeight="1">
      <c r="A483" s="6"/>
    </row>
    <row r="484" ht="15.75" customHeight="1">
      <c r="A484" s="6"/>
    </row>
    <row r="485" ht="15.75" customHeight="1">
      <c r="A485" s="6"/>
    </row>
    <row r="486" ht="15.75" customHeight="1">
      <c r="A486" s="6"/>
    </row>
    <row r="487" ht="15.75" customHeight="1">
      <c r="A487" s="6"/>
    </row>
    <row r="488" ht="15.75" customHeight="1">
      <c r="A488" s="6"/>
    </row>
    <row r="489" ht="15.75" customHeight="1">
      <c r="A489" s="6"/>
    </row>
    <row r="490" ht="15.75" customHeight="1">
      <c r="A490" s="6"/>
    </row>
    <row r="491" ht="15.75" customHeight="1">
      <c r="A491" s="6"/>
    </row>
    <row r="492" ht="15.75" customHeight="1">
      <c r="A492" s="6"/>
    </row>
    <row r="493" ht="15.75" customHeight="1">
      <c r="A493" s="6"/>
    </row>
    <row r="494" ht="15.75" customHeight="1">
      <c r="A494" s="6"/>
    </row>
    <row r="495" ht="15.75" customHeight="1">
      <c r="A495" s="6"/>
    </row>
    <row r="496" ht="15.75" customHeight="1">
      <c r="A496" s="6"/>
    </row>
    <row r="497" ht="15.75" customHeight="1">
      <c r="A497" s="6"/>
    </row>
    <row r="498" ht="15.75" customHeight="1">
      <c r="A498" s="6"/>
    </row>
    <row r="499" ht="15.75" customHeight="1">
      <c r="A499" s="6"/>
    </row>
    <row r="500" ht="15.75" customHeight="1">
      <c r="A500" s="6"/>
    </row>
    <row r="501" ht="15.75" customHeight="1">
      <c r="A501" s="6"/>
    </row>
    <row r="502" ht="15.75" customHeight="1">
      <c r="A502" s="6"/>
    </row>
    <row r="503" ht="15.75" customHeight="1">
      <c r="A503" s="6"/>
    </row>
    <row r="504" ht="15.75" customHeight="1">
      <c r="A504" s="6"/>
    </row>
    <row r="505" ht="15.75" customHeight="1">
      <c r="A505" s="6"/>
    </row>
    <row r="506" ht="15.75" customHeight="1">
      <c r="A506" s="6"/>
    </row>
    <row r="507" ht="15.75" customHeight="1">
      <c r="A507" s="6"/>
    </row>
    <row r="508" ht="15.75" customHeight="1">
      <c r="A508" s="6"/>
    </row>
    <row r="509" ht="15.75" customHeight="1">
      <c r="A509" s="6"/>
    </row>
    <row r="510" ht="15.75" customHeight="1">
      <c r="A510" s="6"/>
    </row>
    <row r="511" ht="15.75" customHeight="1">
      <c r="A511" s="6"/>
    </row>
    <row r="512" ht="15.75" customHeight="1">
      <c r="A512" s="6"/>
    </row>
    <row r="513" ht="15.75" customHeight="1">
      <c r="A513" s="6"/>
    </row>
    <row r="514" ht="15.75" customHeight="1">
      <c r="A514" s="6"/>
    </row>
    <row r="515" ht="15.75" customHeight="1">
      <c r="A515" s="6"/>
    </row>
    <row r="516" ht="15.75" customHeight="1">
      <c r="A516" s="6"/>
    </row>
    <row r="517" ht="15.75" customHeight="1">
      <c r="A517" s="6"/>
    </row>
    <row r="518" ht="15.75" customHeight="1">
      <c r="A518" s="6"/>
    </row>
    <row r="519" ht="15.75" customHeight="1">
      <c r="A519" s="6"/>
    </row>
    <row r="520" ht="15.75" customHeight="1">
      <c r="A520" s="6"/>
    </row>
    <row r="521" ht="15.75" customHeight="1">
      <c r="A521" s="6"/>
    </row>
    <row r="522" ht="15.75" customHeight="1">
      <c r="A522" s="6"/>
    </row>
    <row r="523" ht="15.75" customHeight="1">
      <c r="A523" s="6"/>
    </row>
    <row r="524" ht="15.75" customHeight="1">
      <c r="A524" s="6"/>
    </row>
    <row r="525" ht="15.75" customHeight="1">
      <c r="A525" s="6"/>
    </row>
    <row r="526" ht="15.75" customHeight="1">
      <c r="A526" s="6"/>
    </row>
    <row r="527" ht="15.75" customHeight="1">
      <c r="A527" s="6"/>
    </row>
    <row r="528" ht="15.75" customHeight="1">
      <c r="A528" s="6"/>
    </row>
    <row r="529" ht="15.75" customHeight="1">
      <c r="A529" s="6"/>
    </row>
    <row r="530" ht="15.75" customHeight="1">
      <c r="A530" s="6"/>
    </row>
    <row r="531" ht="15.75" customHeight="1">
      <c r="A531" s="6"/>
    </row>
    <row r="532" ht="15.75" customHeight="1">
      <c r="A532" s="6"/>
    </row>
    <row r="533" ht="15.75" customHeight="1">
      <c r="A533" s="6"/>
    </row>
    <row r="534" ht="15.75" customHeight="1">
      <c r="A534" s="6"/>
    </row>
    <row r="535" ht="15.75" customHeight="1">
      <c r="A535" s="6"/>
    </row>
    <row r="536" ht="15.75" customHeight="1">
      <c r="A536" s="6"/>
    </row>
    <row r="537" ht="15.75" customHeight="1">
      <c r="A537" s="6"/>
    </row>
    <row r="538" ht="15.75" customHeight="1">
      <c r="A538" s="6"/>
    </row>
    <row r="539" ht="15.75" customHeight="1">
      <c r="A539" s="6"/>
    </row>
    <row r="540" ht="15.75" customHeight="1">
      <c r="A540" s="6"/>
    </row>
    <row r="541" ht="15.75" customHeight="1">
      <c r="A541" s="6"/>
    </row>
    <row r="542" ht="15.75" customHeight="1">
      <c r="A542" s="6"/>
    </row>
    <row r="543" ht="15.75" customHeight="1">
      <c r="A543" s="6"/>
    </row>
    <row r="544" ht="15.75" customHeight="1">
      <c r="A544" s="6"/>
    </row>
    <row r="545" ht="15.75" customHeight="1">
      <c r="A545" s="6"/>
    </row>
    <row r="546" ht="15.75" customHeight="1">
      <c r="A546" s="6"/>
    </row>
    <row r="547" ht="15.75" customHeight="1">
      <c r="A547" s="6"/>
    </row>
    <row r="548" ht="15.75" customHeight="1">
      <c r="A548" s="6"/>
    </row>
    <row r="549" ht="15.75" customHeight="1">
      <c r="A549" s="6"/>
    </row>
    <row r="550" ht="15.75" customHeight="1">
      <c r="A550" s="6"/>
    </row>
    <row r="551" ht="15.75" customHeight="1">
      <c r="A551" s="6"/>
    </row>
    <row r="552" ht="15.75" customHeight="1">
      <c r="A552" s="6"/>
    </row>
    <row r="553" ht="15.75" customHeight="1">
      <c r="A553" s="6"/>
    </row>
    <row r="554" ht="15.75" customHeight="1">
      <c r="A554" s="6"/>
    </row>
    <row r="555" ht="15.75" customHeight="1">
      <c r="A555" s="6"/>
    </row>
    <row r="556" ht="15.75" customHeight="1">
      <c r="A556" s="6"/>
    </row>
    <row r="557" ht="15.75" customHeight="1">
      <c r="A557" s="6"/>
    </row>
    <row r="558" ht="15.75" customHeight="1">
      <c r="A558" s="6"/>
    </row>
    <row r="559" ht="15.75" customHeight="1">
      <c r="A559" s="6"/>
    </row>
    <row r="560" ht="15.75" customHeight="1">
      <c r="A560" s="6"/>
    </row>
    <row r="561" ht="15.75" customHeight="1">
      <c r="A561" s="6"/>
    </row>
    <row r="562" ht="15.75" customHeight="1">
      <c r="A562" s="6"/>
    </row>
    <row r="563" ht="15.75" customHeight="1">
      <c r="A563" s="6"/>
    </row>
    <row r="564" ht="15.75" customHeight="1">
      <c r="A564" s="6"/>
    </row>
    <row r="565" ht="15.75" customHeight="1">
      <c r="A565" s="6"/>
    </row>
    <row r="566" ht="15.75" customHeight="1">
      <c r="A566" s="6"/>
    </row>
    <row r="567" ht="15.75" customHeight="1">
      <c r="A567" s="6"/>
    </row>
    <row r="568" ht="15.75" customHeight="1">
      <c r="A568" s="6"/>
    </row>
    <row r="569" ht="15.75" customHeight="1">
      <c r="A569" s="6"/>
    </row>
    <row r="570" ht="15.75" customHeight="1">
      <c r="A570" s="6"/>
    </row>
    <row r="571" ht="15.75" customHeight="1">
      <c r="A571" s="6"/>
    </row>
    <row r="572" ht="15.75" customHeight="1">
      <c r="A572" s="6"/>
    </row>
    <row r="573" ht="15.75" customHeight="1">
      <c r="A573" s="6"/>
    </row>
    <row r="574" ht="15.75" customHeight="1">
      <c r="A574" s="6"/>
    </row>
    <row r="575" ht="15.75" customHeight="1">
      <c r="A575" s="6"/>
    </row>
    <row r="576" ht="15.75" customHeight="1">
      <c r="A576" s="6"/>
    </row>
    <row r="577" ht="15.75" customHeight="1">
      <c r="A577" s="6"/>
    </row>
    <row r="578" ht="15.75" customHeight="1">
      <c r="A578" s="6"/>
    </row>
    <row r="579" ht="15.75" customHeight="1">
      <c r="A579" s="6"/>
    </row>
    <row r="580" ht="15.75" customHeight="1">
      <c r="A580" s="6"/>
    </row>
    <row r="581" ht="15.75" customHeight="1">
      <c r="A581" s="6"/>
    </row>
    <row r="582" ht="15.75" customHeight="1">
      <c r="A582" s="6"/>
    </row>
    <row r="583" ht="15.75" customHeight="1">
      <c r="A583" s="6"/>
    </row>
    <row r="584" ht="15.75" customHeight="1">
      <c r="A584" s="6"/>
    </row>
    <row r="585" ht="15.75" customHeight="1">
      <c r="A585" s="6"/>
    </row>
    <row r="586" ht="15.75" customHeight="1">
      <c r="A586" s="6"/>
    </row>
    <row r="587" ht="15.75" customHeight="1">
      <c r="A587" s="6"/>
    </row>
    <row r="588" ht="15.75" customHeight="1">
      <c r="A588" s="6"/>
    </row>
    <row r="589" ht="15.75" customHeight="1">
      <c r="A589" s="6"/>
    </row>
    <row r="590" ht="15.75" customHeight="1">
      <c r="A590" s="6"/>
    </row>
    <row r="591" ht="15.75" customHeight="1">
      <c r="A591" s="6"/>
    </row>
    <row r="592" ht="15.75" customHeight="1">
      <c r="A592" s="6"/>
    </row>
    <row r="593" ht="15.75" customHeight="1">
      <c r="A593" s="6"/>
    </row>
    <row r="594" ht="15.75" customHeight="1">
      <c r="A594" s="6"/>
    </row>
    <row r="595" ht="15.75" customHeight="1">
      <c r="A595" s="6"/>
    </row>
    <row r="596" ht="15.75" customHeight="1">
      <c r="A596" s="6"/>
    </row>
    <row r="597" ht="15.75" customHeight="1">
      <c r="A597" s="6"/>
    </row>
    <row r="598" ht="15.75" customHeight="1">
      <c r="A598" s="6"/>
    </row>
    <row r="599" ht="15.75" customHeight="1">
      <c r="A599" s="6"/>
    </row>
    <row r="600" ht="15.75" customHeight="1">
      <c r="A600" s="6"/>
    </row>
    <row r="601" ht="15.75" customHeight="1">
      <c r="A601" s="6"/>
    </row>
    <row r="602" ht="15.75" customHeight="1">
      <c r="A602" s="6"/>
    </row>
    <row r="603" ht="15.75" customHeight="1">
      <c r="A603" s="6"/>
    </row>
    <row r="604" ht="15.75" customHeight="1">
      <c r="A604" s="6"/>
    </row>
    <row r="605" ht="15.75" customHeight="1">
      <c r="A605" s="6"/>
    </row>
    <row r="606" ht="15.75" customHeight="1">
      <c r="A606" s="6"/>
    </row>
    <row r="607" ht="15.75" customHeight="1">
      <c r="A607" s="6"/>
    </row>
    <row r="608" ht="15.75" customHeight="1">
      <c r="A608" s="6"/>
    </row>
    <row r="609" ht="15.75" customHeight="1">
      <c r="A609" s="6"/>
    </row>
    <row r="610" ht="15.75" customHeight="1">
      <c r="A610" s="6"/>
    </row>
    <row r="611" ht="15.75" customHeight="1">
      <c r="A611" s="6"/>
    </row>
    <row r="612" ht="15.75" customHeight="1">
      <c r="A612" s="6"/>
    </row>
    <row r="613" ht="15.75" customHeight="1">
      <c r="A613" s="6"/>
    </row>
    <row r="614" ht="15.75" customHeight="1">
      <c r="A614" s="6"/>
    </row>
    <row r="615" ht="15.75" customHeight="1">
      <c r="A615" s="6"/>
    </row>
    <row r="616" ht="15.75" customHeight="1">
      <c r="A616" s="6"/>
    </row>
    <row r="617" ht="15.75" customHeight="1">
      <c r="A617" s="6"/>
    </row>
    <row r="618" ht="15.75" customHeight="1">
      <c r="A618" s="6"/>
    </row>
    <row r="619" ht="15.75" customHeight="1">
      <c r="A619" s="6"/>
    </row>
    <row r="620" ht="15.75" customHeight="1">
      <c r="A620" s="6"/>
    </row>
    <row r="621" ht="15.75" customHeight="1">
      <c r="A621" s="6"/>
    </row>
    <row r="622" ht="15.75" customHeight="1">
      <c r="A622" s="6"/>
    </row>
    <row r="623" ht="15.75" customHeight="1">
      <c r="A623" s="6"/>
    </row>
    <row r="624" ht="15.75" customHeight="1">
      <c r="A624" s="6"/>
    </row>
    <row r="625" ht="15.75" customHeight="1">
      <c r="A625" s="6"/>
    </row>
    <row r="626" ht="15.75" customHeight="1">
      <c r="A626" s="6"/>
    </row>
    <row r="627" ht="15.75" customHeight="1">
      <c r="A627" s="6"/>
    </row>
    <row r="628" ht="15.75" customHeight="1">
      <c r="A628" s="6"/>
    </row>
    <row r="629" ht="15.75" customHeight="1">
      <c r="A629" s="6"/>
    </row>
    <row r="630" ht="15.75" customHeight="1">
      <c r="A630" s="6"/>
    </row>
    <row r="631" ht="15.75" customHeight="1">
      <c r="A631" s="6"/>
    </row>
    <row r="632" ht="15.75" customHeight="1">
      <c r="A632" s="6"/>
    </row>
    <row r="633" ht="15.75" customHeight="1">
      <c r="A633" s="6"/>
    </row>
    <row r="634" ht="15.75" customHeight="1">
      <c r="A634" s="6"/>
    </row>
    <row r="635" ht="15.75" customHeight="1">
      <c r="A635" s="6"/>
    </row>
    <row r="636" ht="15.75" customHeight="1">
      <c r="A636" s="6"/>
    </row>
    <row r="637" ht="15.75" customHeight="1">
      <c r="A637" s="6"/>
    </row>
    <row r="638" ht="15.75" customHeight="1">
      <c r="A638" s="6"/>
    </row>
    <row r="639" ht="15.75" customHeight="1">
      <c r="A639" s="6"/>
    </row>
    <row r="640" ht="15.75" customHeight="1">
      <c r="A640" s="6"/>
    </row>
    <row r="641" ht="15.75" customHeight="1">
      <c r="A641" s="6"/>
    </row>
    <row r="642" ht="15.75" customHeight="1">
      <c r="A642" s="6"/>
    </row>
    <row r="643" ht="15.75" customHeight="1">
      <c r="A643" s="6"/>
    </row>
    <row r="644" ht="15.75" customHeight="1">
      <c r="A644" s="6"/>
    </row>
    <row r="645" ht="15.75" customHeight="1">
      <c r="A645" s="6"/>
    </row>
    <row r="646" ht="15.75" customHeight="1">
      <c r="A646" s="6"/>
    </row>
    <row r="647" ht="15.75" customHeight="1">
      <c r="A647" s="6"/>
    </row>
    <row r="648" ht="15.75" customHeight="1">
      <c r="A648" s="6"/>
    </row>
    <row r="649" ht="15.75" customHeight="1">
      <c r="A649" s="6"/>
    </row>
    <row r="650" ht="15.75" customHeight="1">
      <c r="A650" s="6"/>
    </row>
    <row r="651" ht="15.75" customHeight="1">
      <c r="A651" s="6"/>
    </row>
    <row r="652" ht="15.75" customHeight="1">
      <c r="A652" s="6"/>
    </row>
    <row r="653" ht="15.75" customHeight="1">
      <c r="A653" s="6"/>
    </row>
    <row r="654" ht="15.75" customHeight="1">
      <c r="A654" s="6"/>
    </row>
    <row r="655" ht="15.75" customHeight="1">
      <c r="A655" s="6"/>
    </row>
    <row r="656" ht="15.75" customHeight="1">
      <c r="A656" s="6"/>
    </row>
    <row r="657" ht="15.75" customHeight="1">
      <c r="A657" s="6"/>
    </row>
    <row r="658" ht="15.75" customHeight="1">
      <c r="A658" s="6"/>
    </row>
    <row r="659" ht="15.75" customHeight="1">
      <c r="A659" s="6"/>
    </row>
    <row r="660" ht="15.75" customHeight="1">
      <c r="A660" s="6"/>
    </row>
    <row r="661" ht="15.75" customHeight="1">
      <c r="A661" s="6"/>
    </row>
    <row r="662" ht="15.75" customHeight="1">
      <c r="A662" s="6"/>
    </row>
    <row r="663" ht="15.75" customHeight="1">
      <c r="A663" s="6"/>
    </row>
    <row r="664" ht="15.75" customHeight="1">
      <c r="A664" s="6"/>
    </row>
    <row r="665" ht="15.75" customHeight="1">
      <c r="A665" s="6"/>
    </row>
    <row r="666" ht="15.75" customHeight="1">
      <c r="A666" s="6"/>
    </row>
    <row r="667" ht="15.75" customHeight="1">
      <c r="A667" s="6"/>
    </row>
    <row r="668" ht="15.75" customHeight="1">
      <c r="A668" s="6"/>
    </row>
    <row r="669" ht="15.75" customHeight="1">
      <c r="A669" s="6"/>
    </row>
    <row r="670" ht="15.75" customHeight="1">
      <c r="A670" s="6"/>
    </row>
    <row r="671" ht="15.75" customHeight="1">
      <c r="A671" s="6"/>
    </row>
    <row r="672" ht="15.75" customHeight="1">
      <c r="A672" s="6"/>
    </row>
    <row r="673" ht="15.75" customHeight="1">
      <c r="A673" s="6"/>
    </row>
    <row r="674" ht="15.75" customHeight="1">
      <c r="A674" s="6"/>
    </row>
    <row r="675" ht="15.75" customHeight="1">
      <c r="A675" s="6"/>
    </row>
    <row r="676" ht="15.75" customHeight="1">
      <c r="A676" s="6"/>
    </row>
    <row r="677" ht="15.75" customHeight="1">
      <c r="A677" s="6"/>
    </row>
    <row r="678" ht="15.75" customHeight="1">
      <c r="A678" s="6"/>
    </row>
    <row r="679" ht="15.75" customHeight="1">
      <c r="A679" s="6"/>
    </row>
    <row r="680" ht="15.75" customHeight="1">
      <c r="A680" s="6"/>
    </row>
    <row r="681" ht="15.75" customHeight="1">
      <c r="A681" s="6"/>
    </row>
    <row r="682" ht="15.75" customHeight="1">
      <c r="A682" s="6"/>
    </row>
    <row r="683" ht="15.75" customHeight="1">
      <c r="A683" s="6"/>
    </row>
    <row r="684" ht="15.75" customHeight="1">
      <c r="A684" s="6"/>
    </row>
    <row r="685" ht="15.75" customHeight="1">
      <c r="A685" s="6"/>
    </row>
    <row r="686" ht="15.75" customHeight="1">
      <c r="A686" s="6"/>
    </row>
    <row r="687" ht="15.75" customHeight="1">
      <c r="A687" s="6"/>
    </row>
    <row r="688" ht="15.75" customHeight="1">
      <c r="A688" s="6"/>
    </row>
    <row r="689" ht="15.75" customHeight="1">
      <c r="A689" s="6"/>
    </row>
    <row r="690" ht="15.75" customHeight="1">
      <c r="A690" s="6"/>
    </row>
    <row r="691" ht="15.75" customHeight="1">
      <c r="A691" s="6"/>
    </row>
    <row r="692" ht="15.75" customHeight="1">
      <c r="A692" s="6"/>
    </row>
    <row r="693" ht="15.75" customHeight="1">
      <c r="A693" s="6"/>
    </row>
    <row r="694" ht="15.75" customHeight="1">
      <c r="A694" s="6"/>
    </row>
    <row r="695" ht="15.75" customHeight="1">
      <c r="A695" s="6"/>
    </row>
    <row r="696" ht="15.75" customHeight="1">
      <c r="A696" s="6"/>
    </row>
    <row r="697" ht="15.75" customHeight="1">
      <c r="A697" s="6"/>
    </row>
    <row r="698" ht="15.75" customHeight="1">
      <c r="A698" s="6"/>
    </row>
    <row r="699" ht="15.75" customHeight="1">
      <c r="A699" s="6"/>
    </row>
    <row r="700" ht="15.75" customHeight="1">
      <c r="A700" s="6"/>
    </row>
    <row r="701" ht="15.75" customHeight="1">
      <c r="A701" s="6"/>
    </row>
    <row r="702" ht="15.75" customHeight="1">
      <c r="A702" s="6"/>
    </row>
    <row r="703" ht="15.75" customHeight="1">
      <c r="A703" s="6"/>
    </row>
    <row r="704" ht="15.75" customHeight="1">
      <c r="A704" s="6"/>
    </row>
    <row r="705" ht="15.75" customHeight="1">
      <c r="A705" s="6"/>
    </row>
    <row r="706" ht="15.75" customHeight="1">
      <c r="A706" s="6"/>
    </row>
    <row r="707" ht="15.75" customHeight="1">
      <c r="A707" s="6"/>
    </row>
    <row r="708" ht="15.75" customHeight="1">
      <c r="A708" s="6"/>
    </row>
    <row r="709" ht="15.75" customHeight="1">
      <c r="A709" s="6"/>
    </row>
    <row r="710" ht="15.75" customHeight="1">
      <c r="A710" s="6"/>
    </row>
    <row r="711" ht="15.75" customHeight="1">
      <c r="A711" s="6"/>
    </row>
    <row r="712" ht="15.75" customHeight="1">
      <c r="A712" s="6"/>
    </row>
    <row r="713" ht="15.75" customHeight="1">
      <c r="A713" s="6"/>
    </row>
    <row r="714" ht="15.75" customHeight="1">
      <c r="A714" s="6"/>
    </row>
    <row r="715" ht="15.75" customHeight="1">
      <c r="A715" s="6"/>
    </row>
    <row r="716" ht="15.75" customHeight="1">
      <c r="A716" s="6"/>
    </row>
    <row r="717" ht="15.75" customHeight="1">
      <c r="A717" s="6"/>
    </row>
    <row r="718" ht="15.75" customHeight="1">
      <c r="A718" s="6"/>
    </row>
    <row r="719" ht="15.75" customHeight="1">
      <c r="A719" s="6"/>
    </row>
    <row r="720" ht="15.75" customHeight="1">
      <c r="A720" s="6"/>
    </row>
    <row r="721" ht="15.75" customHeight="1">
      <c r="A721" s="6"/>
    </row>
    <row r="722" ht="15.75" customHeight="1">
      <c r="A722" s="6"/>
    </row>
    <row r="723" ht="15.75" customHeight="1">
      <c r="A723" s="6"/>
    </row>
    <row r="724" ht="15.75" customHeight="1">
      <c r="A724" s="6"/>
    </row>
    <row r="725" ht="15.75" customHeight="1">
      <c r="A725" s="6"/>
    </row>
    <row r="726" ht="15.75" customHeight="1">
      <c r="A726" s="6"/>
    </row>
    <row r="727" ht="15.75" customHeight="1">
      <c r="A727" s="6"/>
    </row>
    <row r="728" ht="15.75" customHeight="1">
      <c r="A728" s="6"/>
    </row>
    <row r="729" ht="15.75" customHeight="1">
      <c r="A729" s="6"/>
    </row>
    <row r="730" ht="15.75" customHeight="1">
      <c r="A730" s="6"/>
    </row>
    <row r="731" ht="15.75" customHeight="1">
      <c r="A731" s="6"/>
    </row>
    <row r="732" ht="15.75" customHeight="1">
      <c r="A732" s="6"/>
    </row>
    <row r="733" ht="15.75" customHeight="1">
      <c r="A733" s="6"/>
    </row>
    <row r="734" ht="15.75" customHeight="1">
      <c r="A734" s="6"/>
    </row>
    <row r="735" ht="15.75" customHeight="1">
      <c r="A735" s="6"/>
    </row>
    <row r="736" ht="15.75" customHeight="1">
      <c r="A736" s="6"/>
    </row>
    <row r="737" ht="15.75" customHeight="1">
      <c r="A737" s="6"/>
    </row>
    <row r="738" ht="15.75" customHeight="1">
      <c r="A738" s="6"/>
    </row>
    <row r="739" ht="15.75" customHeight="1">
      <c r="A739" s="6"/>
    </row>
    <row r="740" ht="15.75" customHeight="1">
      <c r="A740" s="6"/>
    </row>
    <row r="741" ht="15.75" customHeight="1">
      <c r="A741" s="6"/>
    </row>
    <row r="742" ht="15.75" customHeight="1">
      <c r="A742" s="6"/>
    </row>
    <row r="743" ht="15.75" customHeight="1">
      <c r="A743" s="6"/>
    </row>
    <row r="744" ht="15.75" customHeight="1">
      <c r="A744" s="6"/>
    </row>
    <row r="745" ht="15.75" customHeight="1">
      <c r="A745" s="6"/>
    </row>
    <row r="746" ht="15.75" customHeight="1">
      <c r="A746" s="6"/>
    </row>
    <row r="747" ht="15.75" customHeight="1">
      <c r="A747" s="6"/>
    </row>
    <row r="748" ht="15.75" customHeight="1">
      <c r="A748" s="6"/>
    </row>
    <row r="749" ht="15.75" customHeight="1">
      <c r="A749" s="6"/>
    </row>
    <row r="750" ht="15.75" customHeight="1">
      <c r="A750" s="6"/>
    </row>
    <row r="751" ht="15.75" customHeight="1">
      <c r="A751" s="6"/>
    </row>
    <row r="752" ht="15.75" customHeight="1">
      <c r="A752" s="6"/>
    </row>
    <row r="753" ht="15.75" customHeight="1">
      <c r="A753" s="6"/>
    </row>
    <row r="754" ht="15.75" customHeight="1">
      <c r="A754" s="6"/>
    </row>
    <row r="755" ht="15.75" customHeight="1">
      <c r="A755" s="6"/>
    </row>
    <row r="756" ht="15.75" customHeight="1">
      <c r="A756" s="6"/>
    </row>
    <row r="757" ht="15.75" customHeight="1">
      <c r="A757" s="6"/>
    </row>
    <row r="758" ht="15.75" customHeight="1">
      <c r="A758" s="6"/>
    </row>
    <row r="759" ht="15.75" customHeight="1">
      <c r="A759" s="6"/>
    </row>
    <row r="760" ht="15.75" customHeight="1">
      <c r="A760" s="6"/>
    </row>
    <row r="761" ht="15.75" customHeight="1">
      <c r="A761" s="6"/>
    </row>
    <row r="762" ht="15.75" customHeight="1">
      <c r="A762" s="6"/>
    </row>
    <row r="763" ht="15.75" customHeight="1">
      <c r="A763" s="6"/>
    </row>
    <row r="764" ht="15.75" customHeight="1">
      <c r="A764" s="6"/>
    </row>
    <row r="765" ht="15.75" customHeight="1">
      <c r="A765" s="6"/>
    </row>
    <row r="766" ht="15.75" customHeight="1">
      <c r="A766" s="6"/>
    </row>
    <row r="767" ht="15.75" customHeight="1">
      <c r="A767" s="6"/>
    </row>
    <row r="768" ht="15.75" customHeight="1">
      <c r="A768" s="6"/>
    </row>
    <row r="769" ht="15.75" customHeight="1">
      <c r="A769" s="6"/>
    </row>
    <row r="770" ht="15.75" customHeight="1">
      <c r="A770" s="6"/>
    </row>
    <row r="771" ht="15.75" customHeight="1">
      <c r="A771" s="6"/>
    </row>
    <row r="772" ht="15.75" customHeight="1">
      <c r="A772" s="6"/>
    </row>
    <row r="773" ht="15.75" customHeight="1">
      <c r="A773" s="6"/>
    </row>
    <row r="774" ht="15.75" customHeight="1">
      <c r="A774" s="6"/>
    </row>
    <row r="775" ht="15.75" customHeight="1">
      <c r="A775" s="6"/>
    </row>
    <row r="776" ht="15.75" customHeight="1">
      <c r="A776" s="6"/>
    </row>
    <row r="777" ht="15.75" customHeight="1">
      <c r="A777" s="6"/>
    </row>
    <row r="778" ht="15.75" customHeight="1">
      <c r="A778" s="6"/>
    </row>
    <row r="779" ht="15.75" customHeight="1">
      <c r="A779" s="6"/>
    </row>
    <row r="780" ht="15.75" customHeight="1">
      <c r="A780" s="6"/>
    </row>
    <row r="781" ht="15.75" customHeight="1">
      <c r="A781" s="6"/>
    </row>
    <row r="782" ht="15.75" customHeight="1">
      <c r="A782" s="6"/>
    </row>
    <row r="783" ht="15.75" customHeight="1">
      <c r="A783" s="6"/>
    </row>
    <row r="784" ht="15.75" customHeight="1">
      <c r="A784" s="6"/>
    </row>
    <row r="785" ht="15.75" customHeight="1">
      <c r="A785" s="6"/>
    </row>
    <row r="786" ht="15.75" customHeight="1">
      <c r="A786" s="6"/>
    </row>
    <row r="787" ht="15.75" customHeight="1">
      <c r="A787" s="6"/>
    </row>
    <row r="788" ht="15.75" customHeight="1">
      <c r="A788" s="6"/>
    </row>
    <row r="789" ht="15.75" customHeight="1">
      <c r="A789" s="6"/>
    </row>
    <row r="790" ht="15.75" customHeight="1">
      <c r="A790" s="6"/>
    </row>
    <row r="791" ht="15.75" customHeight="1">
      <c r="A791" s="6"/>
    </row>
    <row r="792" ht="15.75" customHeight="1">
      <c r="A792" s="6"/>
    </row>
    <row r="793" ht="15.75" customHeight="1">
      <c r="A793" s="6"/>
    </row>
    <row r="794" ht="15.75" customHeight="1">
      <c r="A794" s="6"/>
    </row>
    <row r="795" ht="15.75" customHeight="1">
      <c r="A795" s="6"/>
    </row>
    <row r="796" ht="15.75" customHeight="1">
      <c r="A796" s="6"/>
    </row>
    <row r="797" ht="15.75" customHeight="1">
      <c r="A797" s="6"/>
    </row>
    <row r="798" ht="15.75" customHeight="1">
      <c r="A798" s="6"/>
    </row>
    <row r="799" ht="15.75" customHeight="1">
      <c r="A799" s="6"/>
    </row>
    <row r="800" ht="15.75" customHeight="1">
      <c r="A800" s="6"/>
    </row>
    <row r="801" ht="15.75" customHeight="1">
      <c r="A801" s="6"/>
    </row>
    <row r="802" ht="15.75" customHeight="1">
      <c r="A802" s="6"/>
    </row>
    <row r="803" ht="15.75" customHeight="1">
      <c r="A803" s="6"/>
    </row>
    <row r="804" ht="15.75" customHeight="1">
      <c r="A804" s="6"/>
    </row>
    <row r="805" ht="15.75" customHeight="1">
      <c r="A805" s="6"/>
    </row>
    <row r="806" ht="15.75" customHeight="1">
      <c r="A806" s="6"/>
    </row>
    <row r="807" ht="15.75" customHeight="1">
      <c r="A807" s="6"/>
    </row>
    <row r="808" ht="15.75" customHeight="1">
      <c r="A808" s="6"/>
    </row>
    <row r="809" ht="15.75" customHeight="1">
      <c r="A809" s="6"/>
    </row>
    <row r="810" ht="15.75" customHeight="1">
      <c r="A810" s="6"/>
    </row>
    <row r="811" ht="15.75" customHeight="1">
      <c r="A811" s="6"/>
    </row>
    <row r="812" ht="15.75" customHeight="1">
      <c r="A812" s="6"/>
    </row>
    <row r="813" ht="15.75" customHeight="1">
      <c r="A813" s="6"/>
    </row>
    <row r="814" ht="15.75" customHeight="1">
      <c r="A814" s="6"/>
    </row>
    <row r="815" ht="15.75" customHeight="1">
      <c r="A815" s="6"/>
    </row>
    <row r="816" ht="15.75" customHeight="1">
      <c r="A816" s="6"/>
    </row>
    <row r="817" ht="15.75" customHeight="1">
      <c r="A817" s="6"/>
    </row>
    <row r="818" ht="15.75" customHeight="1">
      <c r="A818" s="6"/>
    </row>
    <row r="819" ht="15.75" customHeight="1">
      <c r="A819" s="6"/>
    </row>
    <row r="820" ht="15.75" customHeight="1">
      <c r="A820" s="6"/>
    </row>
    <row r="821" ht="15.75" customHeight="1">
      <c r="A821" s="6"/>
    </row>
    <row r="822" ht="15.75" customHeight="1">
      <c r="A822" s="6"/>
    </row>
    <row r="823" ht="15.75" customHeight="1">
      <c r="A823" s="6"/>
    </row>
    <row r="824" ht="15.75" customHeight="1">
      <c r="A824" s="6"/>
    </row>
    <row r="825" ht="15.75" customHeight="1">
      <c r="A825" s="6"/>
    </row>
    <row r="826" ht="15.75" customHeight="1">
      <c r="A826" s="6"/>
    </row>
    <row r="827" ht="15.75" customHeight="1">
      <c r="A827" s="6"/>
    </row>
    <row r="828" ht="15.75" customHeight="1">
      <c r="A828" s="6"/>
    </row>
    <row r="829" ht="15.75" customHeight="1">
      <c r="A829" s="6"/>
    </row>
    <row r="830" ht="15.75" customHeight="1">
      <c r="A830" s="6"/>
    </row>
    <row r="831" ht="15.75" customHeight="1">
      <c r="A831" s="6"/>
    </row>
    <row r="832" ht="15.75" customHeight="1">
      <c r="A832" s="6"/>
    </row>
    <row r="833" ht="15.75" customHeight="1">
      <c r="A833" s="6"/>
    </row>
    <row r="834" ht="15.75" customHeight="1">
      <c r="A834" s="6"/>
    </row>
    <row r="835" ht="15.75" customHeight="1">
      <c r="A835" s="6"/>
    </row>
    <row r="836" ht="15.75" customHeight="1">
      <c r="A836" s="6"/>
    </row>
    <row r="837" ht="15.75" customHeight="1">
      <c r="A837" s="6"/>
    </row>
    <row r="838" ht="15.75" customHeight="1">
      <c r="A838" s="6"/>
    </row>
    <row r="839" ht="15.75" customHeight="1">
      <c r="A839" s="6"/>
    </row>
    <row r="840" ht="15.75" customHeight="1">
      <c r="A840" s="6"/>
    </row>
    <row r="841" ht="15.75" customHeight="1">
      <c r="A841" s="6"/>
    </row>
    <row r="842" ht="15.75" customHeight="1">
      <c r="A842" s="6"/>
    </row>
    <row r="843" ht="15.75" customHeight="1">
      <c r="A843" s="6"/>
    </row>
    <row r="844" ht="15.75" customHeight="1">
      <c r="A844" s="6"/>
    </row>
    <row r="845" ht="15.75" customHeight="1">
      <c r="A845" s="6"/>
    </row>
    <row r="846" ht="15.75" customHeight="1">
      <c r="A846" s="6"/>
    </row>
    <row r="847" ht="15.75" customHeight="1">
      <c r="A847" s="6"/>
    </row>
    <row r="848" ht="15.75" customHeight="1">
      <c r="A848" s="6"/>
    </row>
    <row r="849" ht="15.75" customHeight="1">
      <c r="A849" s="6"/>
    </row>
    <row r="850" ht="15.75" customHeight="1">
      <c r="A850" s="6"/>
    </row>
    <row r="851" ht="15.75" customHeight="1">
      <c r="A851" s="6"/>
    </row>
    <row r="852" ht="15.75" customHeight="1">
      <c r="A852" s="6"/>
    </row>
    <row r="853" ht="15.75" customHeight="1">
      <c r="A853" s="6"/>
    </row>
    <row r="854" ht="15.75" customHeight="1">
      <c r="A854" s="6"/>
    </row>
    <row r="855" ht="15.75" customHeight="1">
      <c r="A855" s="6"/>
    </row>
    <row r="856" ht="15.75" customHeight="1">
      <c r="A856" s="6"/>
    </row>
    <row r="857" ht="15.75" customHeight="1">
      <c r="A857" s="6"/>
    </row>
    <row r="858" ht="15.75" customHeight="1">
      <c r="A858" s="6"/>
    </row>
    <row r="859" ht="15.75" customHeight="1">
      <c r="A859" s="6"/>
    </row>
    <row r="860" ht="15.75" customHeight="1">
      <c r="A860" s="6"/>
    </row>
    <row r="861" ht="15.75" customHeight="1">
      <c r="A861" s="6"/>
    </row>
    <row r="862" ht="15.75" customHeight="1">
      <c r="A862" s="6"/>
    </row>
    <row r="863" ht="15.75" customHeight="1">
      <c r="A863" s="6"/>
    </row>
    <row r="864" ht="15.75" customHeight="1">
      <c r="A864" s="6"/>
    </row>
    <row r="865" ht="15.75" customHeight="1">
      <c r="A865" s="6"/>
    </row>
    <row r="866" ht="15.75" customHeight="1">
      <c r="A866" s="6"/>
    </row>
    <row r="867" ht="15.75" customHeight="1">
      <c r="A867" s="6"/>
    </row>
    <row r="868" ht="15.75" customHeight="1">
      <c r="A868" s="6"/>
    </row>
    <row r="869" ht="15.75" customHeight="1">
      <c r="A869" s="6"/>
    </row>
    <row r="870" ht="15.75" customHeight="1">
      <c r="A870" s="6"/>
    </row>
    <row r="871" ht="15.75" customHeight="1">
      <c r="A871" s="6"/>
    </row>
    <row r="872" ht="15.75" customHeight="1">
      <c r="A872" s="6"/>
    </row>
    <row r="873" ht="15.75" customHeight="1">
      <c r="A873" s="6"/>
    </row>
    <row r="874" ht="15.75" customHeight="1">
      <c r="A874" s="6"/>
    </row>
    <row r="875" ht="15.75" customHeight="1">
      <c r="A875" s="6"/>
    </row>
    <row r="876" ht="15.75" customHeight="1">
      <c r="A876" s="6"/>
    </row>
    <row r="877" ht="15.75" customHeight="1">
      <c r="A877" s="6"/>
    </row>
    <row r="878" ht="15.75" customHeight="1">
      <c r="A878" s="6"/>
    </row>
    <row r="879" ht="15.75" customHeight="1">
      <c r="A879" s="6"/>
    </row>
    <row r="880" ht="15.75" customHeight="1">
      <c r="A880" s="6"/>
    </row>
    <row r="881" ht="15.75" customHeight="1">
      <c r="A881" s="6"/>
    </row>
    <row r="882" ht="15.75" customHeight="1">
      <c r="A882" s="6"/>
    </row>
    <row r="883" ht="15.75" customHeight="1">
      <c r="A883" s="6"/>
    </row>
    <row r="884" ht="15.75" customHeight="1">
      <c r="A884" s="6"/>
    </row>
    <row r="885" ht="15.75" customHeight="1">
      <c r="A885" s="6"/>
    </row>
    <row r="886" ht="15.75" customHeight="1">
      <c r="A886" s="6"/>
    </row>
    <row r="887" ht="15.75" customHeight="1">
      <c r="A887" s="6"/>
    </row>
    <row r="888" ht="15.75" customHeight="1">
      <c r="A888" s="6"/>
    </row>
    <row r="889" ht="15.75" customHeight="1">
      <c r="A889" s="6"/>
    </row>
    <row r="890" ht="15.75" customHeight="1">
      <c r="A890" s="6"/>
    </row>
    <row r="891" ht="15.75" customHeight="1">
      <c r="A891" s="6"/>
    </row>
    <row r="892" ht="15.75" customHeight="1">
      <c r="A892" s="6"/>
    </row>
    <row r="893" ht="15.75" customHeight="1">
      <c r="A893" s="6"/>
    </row>
    <row r="894" ht="15.75" customHeight="1">
      <c r="A894" s="6"/>
    </row>
    <row r="895" ht="15.75" customHeight="1">
      <c r="A895" s="6"/>
    </row>
    <row r="896" ht="15.75" customHeight="1">
      <c r="A896" s="6"/>
    </row>
    <row r="897" ht="15.75" customHeight="1">
      <c r="A897" s="6"/>
    </row>
    <row r="898" ht="15.75" customHeight="1">
      <c r="A898" s="6"/>
    </row>
    <row r="899" ht="15.75" customHeight="1">
      <c r="A899" s="6"/>
    </row>
    <row r="900" ht="15.75" customHeight="1">
      <c r="A900" s="6"/>
    </row>
    <row r="901" ht="15.75" customHeight="1">
      <c r="A901" s="6"/>
    </row>
    <row r="902" ht="15.75" customHeight="1">
      <c r="A902" s="6"/>
    </row>
    <row r="903" ht="15.75" customHeight="1">
      <c r="A903" s="6"/>
    </row>
    <row r="904" ht="15.75" customHeight="1">
      <c r="A904" s="6"/>
    </row>
    <row r="905" ht="15.75" customHeight="1">
      <c r="A905" s="6"/>
    </row>
    <row r="906" ht="15.75" customHeight="1">
      <c r="A906" s="6"/>
    </row>
    <row r="907" ht="15.75" customHeight="1">
      <c r="A907" s="6"/>
    </row>
    <row r="908" ht="15.75" customHeight="1">
      <c r="A908" s="6"/>
    </row>
    <row r="909" ht="15.75" customHeight="1">
      <c r="A909" s="6"/>
    </row>
    <row r="910" ht="15.75" customHeight="1">
      <c r="A910" s="6"/>
    </row>
    <row r="911" ht="15.75" customHeight="1">
      <c r="A911" s="6"/>
    </row>
    <row r="912" ht="15.75" customHeight="1">
      <c r="A912" s="6"/>
    </row>
    <row r="913" ht="15.75" customHeight="1">
      <c r="A913" s="6"/>
    </row>
    <row r="914" ht="15.75" customHeight="1">
      <c r="A914" s="6"/>
    </row>
    <row r="915" ht="15.75" customHeight="1">
      <c r="A915" s="6"/>
    </row>
    <row r="916" ht="15.75" customHeight="1">
      <c r="A916" s="6"/>
    </row>
    <row r="917" ht="15.75" customHeight="1">
      <c r="A917" s="6"/>
    </row>
    <row r="918" ht="15.75" customHeight="1">
      <c r="A918" s="6"/>
    </row>
    <row r="919" ht="15.75" customHeight="1">
      <c r="A919" s="6"/>
    </row>
    <row r="920" ht="15.75" customHeight="1">
      <c r="A920" s="6"/>
    </row>
    <row r="921" ht="15.75" customHeight="1">
      <c r="A921" s="6"/>
    </row>
    <row r="922" ht="15.75" customHeight="1">
      <c r="A922" s="6"/>
    </row>
    <row r="923" ht="15.75" customHeight="1">
      <c r="A923" s="6"/>
    </row>
    <row r="924" ht="15.75" customHeight="1">
      <c r="A924" s="6"/>
    </row>
    <row r="925" ht="15.75" customHeight="1">
      <c r="A925" s="6"/>
    </row>
    <row r="926" ht="15.75" customHeight="1">
      <c r="A926" s="6"/>
    </row>
    <row r="927" ht="15.75" customHeight="1">
      <c r="A927" s="6"/>
    </row>
    <row r="928" ht="15.75" customHeight="1">
      <c r="A928" s="6"/>
    </row>
    <row r="929" ht="15.75" customHeight="1">
      <c r="A929" s="6"/>
    </row>
    <row r="930" ht="15.75" customHeight="1">
      <c r="A930" s="6"/>
    </row>
    <row r="931" ht="15.75" customHeight="1">
      <c r="A931" s="6"/>
    </row>
    <row r="932" ht="15.75" customHeight="1">
      <c r="A932" s="6"/>
    </row>
    <row r="933" ht="15.75" customHeight="1">
      <c r="A933" s="6"/>
    </row>
    <row r="934" ht="15.75" customHeight="1">
      <c r="A934" s="6"/>
    </row>
    <row r="935" ht="15.75" customHeight="1">
      <c r="A935" s="6"/>
    </row>
    <row r="936" ht="15.75" customHeight="1">
      <c r="A936" s="6"/>
    </row>
    <row r="937" ht="15.75" customHeight="1">
      <c r="A937" s="6"/>
    </row>
    <row r="938" ht="15.75" customHeight="1">
      <c r="A938" s="6"/>
    </row>
    <row r="939" ht="15.75" customHeight="1">
      <c r="A939" s="6"/>
    </row>
    <row r="940" ht="15.75" customHeight="1">
      <c r="A940" s="6"/>
    </row>
    <row r="941" ht="15.75" customHeight="1">
      <c r="A941" s="6"/>
    </row>
    <row r="942" ht="15.75" customHeight="1">
      <c r="A942" s="6"/>
    </row>
    <row r="943" ht="15.75" customHeight="1">
      <c r="A943" s="6"/>
    </row>
    <row r="944" ht="15.75" customHeight="1">
      <c r="A944" s="6"/>
    </row>
    <row r="945" ht="15.75" customHeight="1">
      <c r="A945" s="6"/>
    </row>
    <row r="946" ht="15.75" customHeight="1">
      <c r="A946" s="6"/>
    </row>
    <row r="947" ht="15.75" customHeight="1">
      <c r="A947" s="6"/>
    </row>
    <row r="948" ht="15.75" customHeight="1">
      <c r="A948" s="6"/>
    </row>
    <row r="949" ht="15.75" customHeight="1">
      <c r="A949" s="6"/>
    </row>
    <row r="950" ht="15.75" customHeight="1">
      <c r="A950" s="6"/>
    </row>
    <row r="951" ht="15.75" customHeight="1">
      <c r="A951" s="6"/>
    </row>
    <row r="952" ht="15.75" customHeight="1">
      <c r="A952" s="6"/>
    </row>
    <row r="953" ht="15.75" customHeight="1">
      <c r="A953" s="6"/>
    </row>
    <row r="954" ht="15.75" customHeight="1">
      <c r="A954" s="6"/>
    </row>
    <row r="955" ht="15.75" customHeight="1">
      <c r="A955" s="6"/>
    </row>
    <row r="956" ht="15.75" customHeight="1">
      <c r="A956" s="6"/>
    </row>
    <row r="957" ht="15.75" customHeight="1">
      <c r="A957" s="6"/>
    </row>
    <row r="958" ht="15.75" customHeight="1">
      <c r="A958" s="6"/>
    </row>
    <row r="959" ht="15.75" customHeight="1">
      <c r="A959" s="6"/>
    </row>
    <row r="960" ht="15.75" customHeight="1">
      <c r="A960" s="6"/>
    </row>
    <row r="961" ht="15.75" customHeight="1">
      <c r="A961" s="6"/>
    </row>
    <row r="962" ht="15.75" customHeight="1">
      <c r="A962" s="6"/>
    </row>
    <row r="963" ht="15.75" customHeight="1">
      <c r="A963" s="6"/>
    </row>
    <row r="964" ht="15.75" customHeight="1">
      <c r="A964" s="6"/>
    </row>
    <row r="965" ht="15.75" customHeight="1">
      <c r="A965" s="6"/>
    </row>
    <row r="966" ht="15.75" customHeight="1">
      <c r="A966" s="6"/>
    </row>
    <row r="967" ht="15.75" customHeight="1">
      <c r="A967" s="6"/>
    </row>
    <row r="968" ht="15.75" customHeight="1">
      <c r="A968" s="6"/>
    </row>
    <row r="969" ht="15.75" customHeight="1">
      <c r="A969" s="6"/>
    </row>
    <row r="970" ht="15.75" customHeight="1">
      <c r="A970" s="6"/>
    </row>
    <row r="971" ht="15.75" customHeight="1">
      <c r="A971" s="6"/>
    </row>
    <row r="972" ht="15.75" customHeight="1">
      <c r="A972" s="6"/>
    </row>
    <row r="973" ht="15.75" customHeight="1">
      <c r="A973" s="6"/>
    </row>
    <row r="974" ht="15.75" customHeight="1">
      <c r="A974" s="6"/>
    </row>
    <row r="975" ht="15.75" customHeight="1">
      <c r="A975" s="6"/>
    </row>
    <row r="976" ht="15.75" customHeight="1">
      <c r="A976" s="6"/>
    </row>
    <row r="977" ht="15.75" customHeight="1">
      <c r="A977" s="6"/>
    </row>
    <row r="978" ht="15.75" customHeight="1">
      <c r="A978" s="6"/>
    </row>
    <row r="979" ht="15.75" customHeight="1">
      <c r="A979" s="6"/>
    </row>
    <row r="980" ht="15.75" customHeight="1">
      <c r="A980" s="6"/>
    </row>
    <row r="981" ht="15.75" customHeight="1">
      <c r="A981" s="6"/>
    </row>
    <row r="982" ht="15.75" customHeight="1">
      <c r="A982" s="6"/>
    </row>
    <row r="983" ht="15.75" customHeight="1">
      <c r="A983" s="6"/>
    </row>
    <row r="984" ht="15.75" customHeight="1">
      <c r="A984" s="6"/>
    </row>
    <row r="985" ht="15.75" customHeight="1">
      <c r="A985" s="6"/>
    </row>
    <row r="986" ht="15.75" customHeight="1">
      <c r="A986" s="6"/>
    </row>
    <row r="987" ht="15.75" customHeight="1">
      <c r="A987" s="6"/>
    </row>
    <row r="988" ht="15.75" customHeight="1">
      <c r="A988" s="6"/>
    </row>
    <row r="989" ht="15.75" customHeight="1">
      <c r="A989" s="6"/>
    </row>
    <row r="990" ht="15.75" customHeight="1">
      <c r="A990" s="6"/>
    </row>
    <row r="991" ht="15.75" customHeight="1">
      <c r="A991" s="6"/>
    </row>
    <row r="992" ht="15.75" customHeight="1">
      <c r="A992" s="6"/>
    </row>
    <row r="993" ht="15.75" customHeight="1">
      <c r="A993" s="6"/>
    </row>
    <row r="994" ht="15.75" customHeight="1">
      <c r="A994" s="6"/>
    </row>
    <row r="995" ht="15.75" customHeight="1">
      <c r="A995" s="6"/>
    </row>
    <row r="996" ht="15.75" customHeight="1">
      <c r="A996" s="6"/>
    </row>
    <row r="997" ht="15.75" customHeight="1">
      <c r="A997" s="6"/>
    </row>
    <row r="998" ht="15.75" customHeight="1">
      <c r="A998" s="6"/>
    </row>
    <row r="999" ht="15.75" customHeight="1">
      <c r="A999" s="6"/>
    </row>
    <row r="1000" ht="15.75" customHeight="1">
      <c r="A1000" s="6"/>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86"/>
  </cols>
  <sheetData>
    <row r="1" ht="60.0" customHeight="1">
      <c r="A1" s="7" t="s">
        <v>9</v>
      </c>
      <c r="B1" s="8">
        <f t="shared" ref="B1:H1" si="1">+C1-1</f>
        <v>2015</v>
      </c>
      <c r="C1" s="8">
        <f t="shared" si="1"/>
        <v>2016</v>
      </c>
      <c r="D1" s="8">
        <f t="shared" si="1"/>
        <v>2017</v>
      </c>
      <c r="E1" s="8">
        <f t="shared" si="1"/>
        <v>2018</v>
      </c>
      <c r="F1" s="8">
        <f t="shared" si="1"/>
        <v>2019</v>
      </c>
      <c r="G1" s="8">
        <f t="shared" si="1"/>
        <v>2020</v>
      </c>
      <c r="H1" s="8">
        <f t="shared" si="1"/>
        <v>2021</v>
      </c>
      <c r="I1" s="8">
        <v>2022.0</v>
      </c>
    </row>
    <row r="2">
      <c r="A2" s="2" t="s">
        <v>10</v>
      </c>
      <c r="B2" s="9">
        <v>30601.0</v>
      </c>
      <c r="C2" s="9">
        <v>32376.0</v>
      </c>
      <c r="D2" s="9">
        <v>34350.0</v>
      </c>
      <c r="E2" s="9">
        <v>36397.0</v>
      </c>
      <c r="F2" s="9">
        <v>39117.0</v>
      </c>
      <c r="G2" s="9">
        <v>37403.0</v>
      </c>
      <c r="H2" s="9">
        <v>44538.0</v>
      </c>
      <c r="I2" s="9">
        <v>46710.0</v>
      </c>
    </row>
    <row r="3">
      <c r="A3" s="10" t="s">
        <v>11</v>
      </c>
      <c r="B3" s="11">
        <v>16534.0</v>
      </c>
      <c r="C3" s="11">
        <v>17405.0</v>
      </c>
      <c r="D3" s="11">
        <v>19038.0</v>
      </c>
      <c r="E3" s="11">
        <v>20441.0</v>
      </c>
      <c r="F3" s="11">
        <v>21643.0</v>
      </c>
      <c r="G3" s="11">
        <v>21162.0</v>
      </c>
      <c r="H3" s="11">
        <v>24576.0</v>
      </c>
      <c r="I3" s="11">
        <v>25231.0</v>
      </c>
    </row>
    <row r="4">
      <c r="A4" s="3" t="s">
        <v>12</v>
      </c>
      <c r="B4" s="12">
        <f t="shared" ref="B4:I4" si="2">+B2-B3</f>
        <v>14067</v>
      </c>
      <c r="C4" s="12">
        <f t="shared" si="2"/>
        <v>14971</v>
      </c>
      <c r="D4" s="12">
        <f t="shared" si="2"/>
        <v>15312</v>
      </c>
      <c r="E4" s="12">
        <f t="shared" si="2"/>
        <v>15956</v>
      </c>
      <c r="F4" s="12">
        <f t="shared" si="2"/>
        <v>17474</v>
      </c>
      <c r="G4" s="12">
        <f t="shared" si="2"/>
        <v>16241</v>
      </c>
      <c r="H4" s="12">
        <f t="shared" si="2"/>
        <v>19962</v>
      </c>
      <c r="I4" s="12">
        <f t="shared" si="2"/>
        <v>21479</v>
      </c>
      <c r="J4" s="3"/>
      <c r="K4" s="3"/>
      <c r="L4" s="3"/>
      <c r="M4" s="3"/>
      <c r="N4" s="3"/>
      <c r="O4" s="3"/>
      <c r="P4" s="3"/>
      <c r="Q4" s="3"/>
      <c r="R4" s="3"/>
      <c r="S4" s="3"/>
      <c r="T4" s="3"/>
      <c r="U4" s="3"/>
      <c r="V4" s="3"/>
      <c r="W4" s="3"/>
      <c r="X4" s="3"/>
      <c r="Y4" s="3"/>
      <c r="Z4" s="3"/>
    </row>
    <row r="5">
      <c r="A5" s="4" t="s">
        <v>13</v>
      </c>
      <c r="B5" s="9">
        <v>3213.0</v>
      </c>
      <c r="C5" s="9">
        <v>3278.0</v>
      </c>
      <c r="D5" s="9">
        <v>3341.0</v>
      </c>
      <c r="E5" s="9">
        <v>3577.0</v>
      </c>
      <c r="F5" s="9">
        <v>3753.0</v>
      </c>
      <c r="G5" s="9">
        <v>3592.0</v>
      </c>
      <c r="H5" s="9">
        <v>3114.0</v>
      </c>
      <c r="I5" s="9">
        <v>3850.0</v>
      </c>
    </row>
    <row r="6">
      <c r="A6" s="4" t="s">
        <v>14</v>
      </c>
      <c r="B6" s="9">
        <v>6679.0</v>
      </c>
      <c r="C6" s="9">
        <v>7191.0</v>
      </c>
      <c r="D6" s="9">
        <v>7222.0</v>
      </c>
      <c r="E6" s="9">
        <v>7934.0</v>
      </c>
      <c r="F6" s="9">
        <v>8949.0</v>
      </c>
      <c r="G6" s="9">
        <v>9534.0</v>
      </c>
      <c r="H6" s="9">
        <v>9911.0</v>
      </c>
      <c r="I6" s="9">
        <v>10954.0</v>
      </c>
    </row>
    <row r="7">
      <c r="A7" s="13" t="s">
        <v>15</v>
      </c>
      <c r="B7" s="14">
        <f t="shared" ref="B7:I7" si="3">+B5+B6</f>
        <v>9892</v>
      </c>
      <c r="C7" s="14">
        <f t="shared" si="3"/>
        <v>10469</v>
      </c>
      <c r="D7" s="14">
        <f t="shared" si="3"/>
        <v>10563</v>
      </c>
      <c r="E7" s="14">
        <f t="shared" si="3"/>
        <v>11511</v>
      </c>
      <c r="F7" s="14">
        <f t="shared" si="3"/>
        <v>12702</v>
      </c>
      <c r="G7" s="14">
        <f t="shared" si="3"/>
        <v>13126</v>
      </c>
      <c r="H7" s="14">
        <f t="shared" si="3"/>
        <v>13025</v>
      </c>
      <c r="I7" s="14">
        <f t="shared" si="3"/>
        <v>14804</v>
      </c>
    </row>
    <row r="8">
      <c r="A8" s="4" t="s">
        <v>16</v>
      </c>
      <c r="B8" s="9">
        <v>28.0</v>
      </c>
      <c r="C8" s="9">
        <v>19.0</v>
      </c>
      <c r="D8" s="9">
        <v>59.0</v>
      </c>
      <c r="E8" s="15">
        <v>54.0</v>
      </c>
      <c r="F8" s="15">
        <v>49.0</v>
      </c>
      <c r="G8" s="15">
        <v>89.0</v>
      </c>
      <c r="H8" s="9">
        <v>262.0</v>
      </c>
      <c r="I8" s="9">
        <v>205.0</v>
      </c>
    </row>
    <row r="9">
      <c r="A9" s="4" t="s">
        <v>17</v>
      </c>
      <c r="B9" s="9">
        <v>-58.0</v>
      </c>
      <c r="C9" s="9">
        <v>-140.0</v>
      </c>
      <c r="D9" s="9">
        <v>-196.0</v>
      </c>
      <c r="E9" s="15">
        <v>66.0</v>
      </c>
      <c r="F9" s="15">
        <v>-78.0</v>
      </c>
      <c r="G9" s="15">
        <v>139.0</v>
      </c>
      <c r="H9" s="9">
        <v>14.0</v>
      </c>
      <c r="I9" s="9">
        <v>-181.0</v>
      </c>
    </row>
    <row r="10">
      <c r="A10" s="16" t="s">
        <v>18</v>
      </c>
      <c r="B10" s="17">
        <f t="shared" ref="B10:I10" si="4">+B4-B7-B8-B9</f>
        <v>4205</v>
      </c>
      <c r="C10" s="17">
        <f t="shared" si="4"/>
        <v>4623</v>
      </c>
      <c r="D10" s="17">
        <f t="shared" si="4"/>
        <v>4886</v>
      </c>
      <c r="E10" s="17">
        <f t="shared" si="4"/>
        <v>4325</v>
      </c>
      <c r="F10" s="17">
        <f t="shared" si="4"/>
        <v>4801</v>
      </c>
      <c r="G10" s="17">
        <f t="shared" si="4"/>
        <v>2887</v>
      </c>
      <c r="H10" s="17">
        <f t="shared" si="4"/>
        <v>6661</v>
      </c>
      <c r="I10" s="17">
        <f t="shared" si="4"/>
        <v>6651</v>
      </c>
    </row>
    <row r="11">
      <c r="A11" s="4" t="s">
        <v>19</v>
      </c>
      <c r="B11" s="15">
        <v>932.0</v>
      </c>
      <c r="C11" s="15">
        <v>863.0</v>
      </c>
      <c r="D11" s="15">
        <v>646.0</v>
      </c>
      <c r="E11" s="15">
        <v>2392.0</v>
      </c>
      <c r="F11" s="15">
        <v>772.0</v>
      </c>
      <c r="G11" s="15">
        <v>348.0</v>
      </c>
      <c r="H11" s="15">
        <v>934.0</v>
      </c>
      <c r="I11" s="15">
        <v>605.0</v>
      </c>
    </row>
    <row r="12">
      <c r="A12" s="18" t="s">
        <v>20</v>
      </c>
      <c r="B12" s="19">
        <f t="shared" ref="B12:I12" si="5">+B10-B11</f>
        <v>3273</v>
      </c>
      <c r="C12" s="19">
        <f t="shared" si="5"/>
        <v>3760</v>
      </c>
      <c r="D12" s="19">
        <f t="shared" si="5"/>
        <v>4240</v>
      </c>
      <c r="E12" s="19">
        <f t="shared" si="5"/>
        <v>1933</v>
      </c>
      <c r="F12" s="19">
        <f t="shared" si="5"/>
        <v>4029</v>
      </c>
      <c r="G12" s="19">
        <f t="shared" si="5"/>
        <v>2539</v>
      </c>
      <c r="H12" s="19">
        <f t="shared" si="5"/>
        <v>5727</v>
      </c>
      <c r="I12" s="19">
        <f t="shared" si="5"/>
        <v>6046</v>
      </c>
    </row>
    <row r="13">
      <c r="A13" s="3" t="s">
        <v>21</v>
      </c>
    </row>
    <row r="14">
      <c r="A14" s="4" t="s">
        <v>22</v>
      </c>
      <c r="B14" s="2">
        <v>1.9</v>
      </c>
      <c r="C14" s="2">
        <v>2.21</v>
      </c>
      <c r="D14" s="2">
        <v>2.56</v>
      </c>
      <c r="E14" s="2">
        <v>1.19</v>
      </c>
      <c r="F14" s="2">
        <v>2.55</v>
      </c>
      <c r="G14" s="2">
        <v>1.63</v>
      </c>
      <c r="H14" s="2">
        <v>3.64</v>
      </c>
      <c r="I14" s="2">
        <v>3.83</v>
      </c>
    </row>
    <row r="15">
      <c r="A15" s="4" t="s">
        <v>23</v>
      </c>
      <c r="B15" s="2">
        <v>1.85</v>
      </c>
      <c r="C15" s="2">
        <v>2.16</v>
      </c>
      <c r="D15" s="2">
        <v>2.51</v>
      </c>
      <c r="E15" s="2">
        <v>1.17</v>
      </c>
      <c r="F15" s="2">
        <v>2.49</v>
      </c>
      <c r="G15" s="2">
        <v>1.6</v>
      </c>
      <c r="H15" s="2">
        <v>3.56</v>
      </c>
      <c r="I15" s="2">
        <v>3.75</v>
      </c>
    </row>
    <row r="16">
      <c r="A16" s="3" t="s">
        <v>24</v>
      </c>
    </row>
    <row r="17">
      <c r="A17" s="4" t="s">
        <v>22</v>
      </c>
      <c r="B17" s="2">
        <v>1723.5</v>
      </c>
      <c r="C17" s="2">
        <v>1697.9</v>
      </c>
      <c r="D17" s="2">
        <v>1657.8</v>
      </c>
      <c r="E17" s="2">
        <v>1623.8</v>
      </c>
      <c r="F17" s="2">
        <v>1579.7</v>
      </c>
      <c r="G17" s="20">
        <v>1558.8</v>
      </c>
      <c r="H17" s="21">
        <v>1573.0</v>
      </c>
      <c r="I17" s="21">
        <v>1578.8</v>
      </c>
    </row>
    <row r="18">
      <c r="A18" s="4" t="s">
        <v>23</v>
      </c>
      <c r="B18" s="2">
        <v>1768.8</v>
      </c>
      <c r="C18" s="2">
        <v>1742.5</v>
      </c>
      <c r="D18" s="2">
        <v>1692.0</v>
      </c>
      <c r="E18" s="2">
        <v>1659.1</v>
      </c>
      <c r="F18" s="2">
        <v>1618.4</v>
      </c>
      <c r="G18" s="20">
        <v>1591.6</v>
      </c>
      <c r="H18" s="21">
        <v>1609.4</v>
      </c>
      <c r="I18" s="21">
        <v>1610.8</v>
      </c>
    </row>
    <row r="20">
      <c r="A20" s="22" t="s">
        <v>25</v>
      </c>
      <c r="B20" s="23">
        <f t="shared" ref="B20:I20" si="6">+ROUND(((B12/B18)-B15),2)</f>
        <v>0</v>
      </c>
      <c r="C20" s="23">
        <f t="shared" si="6"/>
        <v>0</v>
      </c>
      <c r="D20" s="23">
        <f t="shared" si="6"/>
        <v>0</v>
      </c>
      <c r="E20" s="23">
        <f t="shared" si="6"/>
        <v>0</v>
      </c>
      <c r="F20" s="23">
        <f t="shared" si="6"/>
        <v>0</v>
      </c>
      <c r="G20" s="23">
        <f t="shared" si="6"/>
        <v>0</v>
      </c>
      <c r="H20" s="23">
        <f t="shared" si="6"/>
        <v>0</v>
      </c>
      <c r="I20" s="23">
        <f t="shared" si="6"/>
        <v>0</v>
      </c>
      <c r="J20" s="22"/>
      <c r="K20" s="22"/>
      <c r="L20" s="22"/>
      <c r="M20" s="22"/>
      <c r="N20" s="22"/>
      <c r="O20" s="22"/>
      <c r="P20" s="22"/>
      <c r="Q20" s="22"/>
      <c r="R20" s="22"/>
      <c r="S20" s="22"/>
      <c r="T20" s="22"/>
      <c r="U20" s="22"/>
      <c r="V20" s="22"/>
      <c r="W20" s="22"/>
      <c r="X20" s="22"/>
      <c r="Y20" s="22"/>
      <c r="Z20" s="22"/>
    </row>
    <row r="21" ht="15.75" customHeight="1"/>
    <row r="22" ht="15.75" customHeight="1">
      <c r="A22" s="24" t="s">
        <v>26</v>
      </c>
      <c r="B22" s="24"/>
      <c r="C22" s="24"/>
      <c r="D22" s="24"/>
      <c r="E22" s="24"/>
      <c r="F22" s="24"/>
      <c r="G22" s="24"/>
      <c r="H22" s="24"/>
      <c r="I22" s="24"/>
    </row>
    <row r="23" ht="15.75" customHeight="1">
      <c r="A23" s="3" t="s">
        <v>27</v>
      </c>
    </row>
    <row r="24" ht="15.75" customHeight="1">
      <c r="A24" s="25" t="s">
        <v>28</v>
      </c>
      <c r="B24" s="9"/>
      <c r="C24" s="9"/>
      <c r="D24" s="9"/>
      <c r="E24" s="9"/>
      <c r="F24" s="9"/>
      <c r="G24" s="9"/>
      <c r="H24" s="9"/>
      <c r="I24" s="9"/>
    </row>
    <row r="25" ht="15.75" customHeight="1">
      <c r="A25" s="4" t="s">
        <v>29</v>
      </c>
      <c r="B25" s="9">
        <v>3852.0</v>
      </c>
      <c r="C25" s="9">
        <v>3138.0</v>
      </c>
      <c r="D25" s="9">
        <v>3808.0</v>
      </c>
      <c r="E25" s="9">
        <v>4249.0</v>
      </c>
      <c r="F25" s="9">
        <v>4466.0</v>
      </c>
      <c r="G25" s="9">
        <v>8348.0</v>
      </c>
      <c r="H25" s="9">
        <v>9889.0</v>
      </c>
      <c r="I25" s="9">
        <v>8574.0</v>
      </c>
    </row>
    <row r="26" ht="15.75" customHeight="1">
      <c r="A26" s="4" t="s">
        <v>30</v>
      </c>
      <c r="B26" s="9">
        <v>2072.0</v>
      </c>
      <c r="C26" s="9">
        <v>2319.0</v>
      </c>
      <c r="D26" s="9">
        <v>2371.0</v>
      </c>
      <c r="E26" s="9">
        <v>996.0</v>
      </c>
      <c r="F26" s="9">
        <v>197.0</v>
      </c>
      <c r="G26" s="9">
        <v>439.0</v>
      </c>
      <c r="H26" s="9">
        <v>3587.0</v>
      </c>
      <c r="I26" s="9">
        <v>4423.0</v>
      </c>
    </row>
    <row r="27" ht="15.75" customHeight="1">
      <c r="A27" s="4" t="s">
        <v>31</v>
      </c>
      <c r="B27" s="9">
        <v>3358.0</v>
      </c>
      <c r="C27" s="9">
        <v>3241.0</v>
      </c>
      <c r="D27" s="9">
        <v>3677.0</v>
      </c>
      <c r="E27" s="9">
        <v>3498.0</v>
      </c>
      <c r="F27" s="9">
        <v>4272.0</v>
      </c>
      <c r="G27" s="9">
        <v>2749.0</v>
      </c>
      <c r="H27" s="9">
        <v>4463.0</v>
      </c>
      <c r="I27" s="9">
        <v>4667.0</v>
      </c>
    </row>
    <row r="28" ht="15.75" customHeight="1">
      <c r="A28" s="4" t="s">
        <v>32</v>
      </c>
      <c r="B28" s="9">
        <v>4337.0</v>
      </c>
      <c r="C28" s="9">
        <v>4838.0</v>
      </c>
      <c r="D28" s="9">
        <v>5055.0</v>
      </c>
      <c r="E28" s="9">
        <v>5261.0</v>
      </c>
      <c r="F28" s="9">
        <v>5622.0</v>
      </c>
      <c r="G28" s="9">
        <v>7367.0</v>
      </c>
      <c r="H28" s="9">
        <v>6854.0</v>
      </c>
      <c r="I28" s="9">
        <v>8420.0</v>
      </c>
    </row>
    <row r="29" ht="15.75" customHeight="1">
      <c r="A29" s="4" t="s">
        <v>33</v>
      </c>
      <c r="B29" s="9">
        <v>1968.0</v>
      </c>
      <c r="C29" s="9">
        <v>1489.0</v>
      </c>
      <c r="D29" s="9">
        <v>1150.0</v>
      </c>
      <c r="E29" s="9">
        <v>1130.0</v>
      </c>
      <c r="F29" s="9">
        <v>1968.0</v>
      </c>
      <c r="G29" s="9">
        <v>1653.0</v>
      </c>
      <c r="H29" s="9">
        <v>1498.0</v>
      </c>
      <c r="I29" s="9">
        <v>2129.0</v>
      </c>
    </row>
    <row r="30" ht="15.75" customHeight="1">
      <c r="A30" s="16" t="s">
        <v>34</v>
      </c>
      <c r="B30" s="17">
        <f t="shared" ref="B30:I30" si="7">+SUM(B25:B29)</f>
        <v>15587</v>
      </c>
      <c r="C30" s="17">
        <f t="shared" si="7"/>
        <v>15025</v>
      </c>
      <c r="D30" s="17">
        <f t="shared" si="7"/>
        <v>16061</v>
      </c>
      <c r="E30" s="17">
        <f t="shared" si="7"/>
        <v>15134</v>
      </c>
      <c r="F30" s="17">
        <f t="shared" si="7"/>
        <v>16525</v>
      </c>
      <c r="G30" s="17">
        <f t="shared" si="7"/>
        <v>20556</v>
      </c>
      <c r="H30" s="17">
        <f t="shared" si="7"/>
        <v>26291</v>
      </c>
      <c r="I30" s="17">
        <f t="shared" si="7"/>
        <v>28213</v>
      </c>
    </row>
    <row r="31" ht="15.75" customHeight="1">
      <c r="A31" s="4" t="s">
        <v>35</v>
      </c>
      <c r="B31" s="15">
        <v>3011.0</v>
      </c>
      <c r="C31" s="15">
        <v>3520.0</v>
      </c>
      <c r="D31" s="15">
        <v>3989.0</v>
      </c>
      <c r="E31" s="15">
        <v>4454.0</v>
      </c>
      <c r="F31" s="15">
        <v>4744.0</v>
      </c>
      <c r="G31" s="15">
        <v>4866.0</v>
      </c>
      <c r="H31" s="15">
        <v>4904.0</v>
      </c>
      <c r="I31" s="15">
        <v>4791.0</v>
      </c>
    </row>
    <row r="32" ht="15.75" customHeight="1">
      <c r="A32" s="4" t="s">
        <v>36</v>
      </c>
      <c r="B32" s="15">
        <v>0.0</v>
      </c>
      <c r="C32" s="15">
        <v>0.0</v>
      </c>
      <c r="D32" s="15">
        <v>0.0</v>
      </c>
      <c r="E32" s="15">
        <v>0.0</v>
      </c>
      <c r="F32" s="15">
        <v>0.0</v>
      </c>
      <c r="G32" s="15">
        <v>3097.0</v>
      </c>
      <c r="H32" s="15">
        <v>3113.0</v>
      </c>
      <c r="I32" s="15">
        <v>2926.0</v>
      </c>
    </row>
    <row r="33" ht="15.75" customHeight="1">
      <c r="A33" s="4" t="s">
        <v>37</v>
      </c>
      <c r="B33" s="15">
        <v>281.0</v>
      </c>
      <c r="C33" s="15">
        <v>281.0</v>
      </c>
      <c r="D33" s="15">
        <v>283.0</v>
      </c>
      <c r="E33" s="15">
        <v>285.0</v>
      </c>
      <c r="F33" s="15">
        <v>283.0</v>
      </c>
      <c r="G33" s="15">
        <v>274.0</v>
      </c>
      <c r="H33" s="15">
        <v>269.0</v>
      </c>
      <c r="I33" s="15">
        <v>286.0</v>
      </c>
    </row>
    <row r="34" ht="15.75" customHeight="1">
      <c r="A34" s="4" t="s">
        <v>38</v>
      </c>
      <c r="B34" s="15">
        <v>131.0</v>
      </c>
      <c r="C34" s="15">
        <v>131.0</v>
      </c>
      <c r="D34" s="15">
        <v>139.0</v>
      </c>
      <c r="E34" s="15">
        <v>154.0</v>
      </c>
      <c r="F34" s="15">
        <v>154.0</v>
      </c>
      <c r="G34" s="15">
        <v>223.0</v>
      </c>
      <c r="H34" s="15">
        <v>242.0</v>
      </c>
      <c r="I34" s="15">
        <v>284.0</v>
      </c>
    </row>
    <row r="35" ht="15.75" customHeight="1">
      <c r="A35" s="4" t="s">
        <v>39</v>
      </c>
      <c r="B35" s="15">
        <v>2587.0</v>
      </c>
      <c r="C35" s="15">
        <v>2439.0</v>
      </c>
      <c r="D35" s="15">
        <v>2787.0</v>
      </c>
      <c r="E35" s="15">
        <v>2509.0</v>
      </c>
      <c r="F35" s="15">
        <v>2011.0</v>
      </c>
      <c r="G35" s="15">
        <v>2326.0</v>
      </c>
      <c r="H35" s="15">
        <v>2921.0</v>
      </c>
      <c r="I35" s="15">
        <v>3821.0</v>
      </c>
    </row>
    <row r="36" ht="15.75" customHeight="1">
      <c r="A36" s="18" t="s">
        <v>40</v>
      </c>
      <c r="B36" s="19">
        <f t="shared" ref="B36:I36" si="8">+SUM(B30:B35)</f>
        <v>21597</v>
      </c>
      <c r="C36" s="19">
        <f t="shared" si="8"/>
        <v>21396</v>
      </c>
      <c r="D36" s="19">
        <f t="shared" si="8"/>
        <v>23259</v>
      </c>
      <c r="E36" s="19">
        <f t="shared" si="8"/>
        <v>22536</v>
      </c>
      <c r="F36" s="19">
        <f t="shared" si="8"/>
        <v>23717</v>
      </c>
      <c r="G36" s="19">
        <f t="shared" si="8"/>
        <v>31342</v>
      </c>
      <c r="H36" s="19">
        <f t="shared" si="8"/>
        <v>37740</v>
      </c>
      <c r="I36" s="19">
        <f t="shared" si="8"/>
        <v>40321</v>
      </c>
    </row>
    <row r="37" ht="15.75" customHeight="1">
      <c r="A37" s="3" t="s">
        <v>41</v>
      </c>
      <c r="B37" s="9"/>
      <c r="C37" s="9"/>
      <c r="D37" s="9"/>
      <c r="E37" s="9"/>
      <c r="F37" s="9"/>
      <c r="G37" s="9"/>
      <c r="H37" s="9"/>
      <c r="I37" s="9"/>
    </row>
    <row r="38" ht="15.75" customHeight="1">
      <c r="A38" s="4" t="s">
        <v>42</v>
      </c>
      <c r="B38" s="9"/>
      <c r="C38" s="9"/>
      <c r="D38" s="9"/>
      <c r="E38" s="9"/>
      <c r="F38" s="9"/>
      <c r="G38" s="9"/>
      <c r="H38" s="9"/>
      <c r="I38" s="9"/>
    </row>
    <row r="39" ht="15.75" customHeight="1">
      <c r="A39" s="4" t="s">
        <v>43</v>
      </c>
      <c r="B39" s="9">
        <v>107.0</v>
      </c>
      <c r="C39" s="9">
        <v>44.0</v>
      </c>
      <c r="D39" s="9">
        <v>6.0</v>
      </c>
      <c r="E39" s="9">
        <v>6.0</v>
      </c>
      <c r="F39" s="9">
        <v>6.0</v>
      </c>
      <c r="G39" s="9">
        <v>3.0</v>
      </c>
      <c r="H39" s="9">
        <v>0.0</v>
      </c>
      <c r="I39" s="9">
        <v>500.0</v>
      </c>
    </row>
    <row r="40" ht="15.75" customHeight="1">
      <c r="A40" s="4" t="s">
        <v>44</v>
      </c>
      <c r="B40" s="9">
        <v>74.0</v>
      </c>
      <c r="C40" s="9">
        <v>1.0</v>
      </c>
      <c r="D40" s="9">
        <v>325.0</v>
      </c>
      <c r="E40" s="9">
        <v>336.0</v>
      </c>
      <c r="F40" s="9">
        <v>9.0</v>
      </c>
      <c r="G40" s="9">
        <v>248.0</v>
      </c>
      <c r="H40" s="9">
        <v>2.0</v>
      </c>
      <c r="I40" s="9">
        <v>10.0</v>
      </c>
    </row>
    <row r="41" ht="15.75" customHeight="1">
      <c r="A41" s="4" t="s">
        <v>45</v>
      </c>
      <c r="B41" s="9">
        <v>2131.0</v>
      </c>
      <c r="C41" s="9">
        <v>2191.0</v>
      </c>
      <c r="D41" s="9">
        <v>2048.0</v>
      </c>
      <c r="E41" s="9">
        <v>2279.0</v>
      </c>
      <c r="F41" s="9">
        <v>2612.0</v>
      </c>
      <c r="G41" s="9">
        <v>2248.0</v>
      </c>
      <c r="H41" s="9">
        <v>2836.0</v>
      </c>
      <c r="I41" s="9">
        <v>3358.0</v>
      </c>
    </row>
    <row r="42" ht="15.75" customHeight="1">
      <c r="A42" s="4" t="s">
        <v>46</v>
      </c>
      <c r="B42" s="9">
        <v>0.0</v>
      </c>
      <c r="C42" s="9">
        <v>0.0</v>
      </c>
      <c r="D42" s="9">
        <v>0.0</v>
      </c>
      <c r="E42" s="9">
        <v>0.0</v>
      </c>
      <c r="F42" s="9">
        <v>0.0</v>
      </c>
      <c r="G42" s="9">
        <v>445.0</v>
      </c>
      <c r="H42" s="9">
        <v>467.0</v>
      </c>
      <c r="I42" s="9">
        <v>420.0</v>
      </c>
    </row>
    <row r="43" ht="15.75" customHeight="1">
      <c r="A43" s="4" t="s">
        <v>47</v>
      </c>
      <c r="B43" s="9">
        <v>3949.0</v>
      </c>
      <c r="C43" s="9">
        <v>3037.0</v>
      </c>
      <c r="D43" s="9">
        <v>3011.0</v>
      </c>
      <c r="E43" s="9">
        <v>3269.0</v>
      </c>
      <c r="F43" s="9">
        <v>5010.0</v>
      </c>
      <c r="G43" s="9">
        <v>5184.0</v>
      </c>
      <c r="H43" s="9">
        <v>6063.0</v>
      </c>
      <c r="I43" s="9">
        <v>6220.0</v>
      </c>
    </row>
    <row r="44" ht="15.75" customHeight="1">
      <c r="A44" s="4" t="s">
        <v>48</v>
      </c>
      <c r="B44" s="9">
        <v>71.0</v>
      </c>
      <c r="C44" s="9">
        <v>85.0</v>
      </c>
      <c r="D44" s="9">
        <v>84.0</v>
      </c>
      <c r="E44" s="9">
        <v>150.0</v>
      </c>
      <c r="F44" s="9">
        <v>229.0</v>
      </c>
      <c r="G44" s="9">
        <v>156.0</v>
      </c>
      <c r="H44" s="9">
        <v>306.0</v>
      </c>
      <c r="I44" s="9">
        <v>222.0</v>
      </c>
    </row>
    <row r="45" ht="15.75" customHeight="1">
      <c r="A45" s="16" t="s">
        <v>49</v>
      </c>
      <c r="B45" s="17">
        <f t="shared" ref="B45:I45" si="9">+SUM(B39:B44)</f>
        <v>6332</v>
      </c>
      <c r="C45" s="17">
        <f t="shared" si="9"/>
        <v>5358</v>
      </c>
      <c r="D45" s="17">
        <f t="shared" si="9"/>
        <v>5474</v>
      </c>
      <c r="E45" s="17">
        <f t="shared" si="9"/>
        <v>6040</v>
      </c>
      <c r="F45" s="17">
        <f t="shared" si="9"/>
        <v>7866</v>
      </c>
      <c r="G45" s="17">
        <f t="shared" si="9"/>
        <v>8284</v>
      </c>
      <c r="H45" s="17">
        <f t="shared" si="9"/>
        <v>9674</v>
      </c>
      <c r="I45" s="17">
        <f t="shared" si="9"/>
        <v>10730</v>
      </c>
    </row>
    <row r="46" ht="15.75" customHeight="1">
      <c r="A46" s="4" t="s">
        <v>50</v>
      </c>
      <c r="B46" s="15">
        <v>1079.0</v>
      </c>
      <c r="C46" s="15">
        <v>2010.0</v>
      </c>
      <c r="D46" s="15">
        <v>3471.0</v>
      </c>
      <c r="E46" s="15">
        <v>3468.0</v>
      </c>
      <c r="F46" s="15">
        <v>3464.0</v>
      </c>
      <c r="G46" s="15">
        <v>9406.0</v>
      </c>
      <c r="H46" s="15">
        <v>9413.0</v>
      </c>
      <c r="I46" s="15">
        <v>8920.0</v>
      </c>
    </row>
    <row r="47" ht="15.75" customHeight="1">
      <c r="A47" s="4" t="s">
        <v>51</v>
      </c>
      <c r="B47" s="15">
        <v>0.0</v>
      </c>
      <c r="C47" s="15">
        <v>0.0</v>
      </c>
      <c r="D47" s="15">
        <v>0.0</v>
      </c>
      <c r="E47" s="15">
        <v>0.0</v>
      </c>
      <c r="F47" s="15">
        <v>0.0</v>
      </c>
      <c r="G47" s="15">
        <v>2913.0</v>
      </c>
      <c r="H47" s="15">
        <v>2931.0</v>
      </c>
      <c r="I47" s="15">
        <v>2777.0</v>
      </c>
    </row>
    <row r="48" ht="15.75" customHeight="1">
      <c r="A48" s="4" t="s">
        <v>52</v>
      </c>
      <c r="B48" s="15">
        <v>1479.0</v>
      </c>
      <c r="C48" s="15">
        <v>1770.0</v>
      </c>
      <c r="D48" s="15">
        <v>1907.0</v>
      </c>
      <c r="E48" s="15">
        <v>3216.0</v>
      </c>
      <c r="F48" s="15">
        <v>3347.0</v>
      </c>
      <c r="G48" s="15">
        <v>2684.0</v>
      </c>
      <c r="H48" s="15">
        <v>2955.0</v>
      </c>
      <c r="I48" s="15">
        <v>2613.0</v>
      </c>
    </row>
    <row r="49" ht="15.75" customHeight="1">
      <c r="A49" s="4" t="s">
        <v>53</v>
      </c>
      <c r="B49" s="15" t="s">
        <v>54</v>
      </c>
      <c r="C49" s="15" t="s">
        <v>54</v>
      </c>
      <c r="D49" s="15" t="s">
        <v>54</v>
      </c>
      <c r="E49" s="15" t="s">
        <v>54</v>
      </c>
      <c r="F49" s="15" t="s">
        <v>54</v>
      </c>
      <c r="G49" s="15"/>
      <c r="H49" s="15"/>
      <c r="I49" s="15"/>
    </row>
    <row r="50" ht="15.75" customHeight="1">
      <c r="A50" s="4" t="s">
        <v>55</v>
      </c>
      <c r="B50" s="15" t="s">
        <v>54</v>
      </c>
      <c r="C50" s="15" t="s">
        <v>54</v>
      </c>
      <c r="D50" s="15" t="s">
        <v>54</v>
      </c>
      <c r="E50" s="15" t="s">
        <v>54</v>
      </c>
      <c r="F50" s="15" t="s">
        <v>54</v>
      </c>
      <c r="G50" s="15" t="s">
        <v>54</v>
      </c>
      <c r="H50" s="15" t="s">
        <v>56</v>
      </c>
      <c r="I50" s="15" t="s">
        <v>57</v>
      </c>
    </row>
    <row r="51" ht="15.75" customHeight="1">
      <c r="A51" s="4" t="s">
        <v>58</v>
      </c>
      <c r="B51" s="15"/>
      <c r="C51" s="15"/>
      <c r="D51" s="15"/>
      <c r="E51" s="15"/>
      <c r="F51" s="15"/>
      <c r="G51" s="15"/>
      <c r="H51" s="15"/>
      <c r="I51" s="15"/>
    </row>
    <row r="52" ht="15.75" customHeight="1">
      <c r="A52" s="4" t="s">
        <v>59</v>
      </c>
      <c r="B52" s="15"/>
      <c r="C52" s="15"/>
      <c r="D52" s="15"/>
      <c r="E52" s="15"/>
      <c r="F52" s="15"/>
      <c r="G52" s="15"/>
      <c r="H52" s="15"/>
      <c r="I52" s="15"/>
    </row>
    <row r="53" ht="15.75" customHeight="1">
      <c r="A53" s="4" t="s">
        <v>60</v>
      </c>
      <c r="B53" s="15" t="s">
        <v>54</v>
      </c>
      <c r="C53" s="15" t="s">
        <v>54</v>
      </c>
      <c r="D53" s="15" t="s">
        <v>54</v>
      </c>
      <c r="E53" s="15" t="s">
        <v>54</v>
      </c>
      <c r="F53" s="15" t="s">
        <v>54</v>
      </c>
      <c r="G53" s="15" t="s">
        <v>54</v>
      </c>
      <c r="H53" s="15"/>
      <c r="I53" s="15"/>
    </row>
    <row r="54" ht="15.75" customHeight="1">
      <c r="A54" s="4" t="s">
        <v>61</v>
      </c>
      <c r="B54" s="15">
        <v>3.0</v>
      </c>
      <c r="C54" s="15">
        <v>3.0</v>
      </c>
      <c r="D54" s="15">
        <v>3.0</v>
      </c>
      <c r="E54" s="15">
        <v>3.0</v>
      </c>
      <c r="F54" s="15">
        <v>3.0</v>
      </c>
      <c r="G54" s="15">
        <v>3.0</v>
      </c>
      <c r="H54" s="15">
        <v>3.0</v>
      </c>
      <c r="I54" s="15">
        <v>3.0</v>
      </c>
    </row>
    <row r="55" ht="15.75" customHeight="1">
      <c r="A55" s="4" t="s">
        <v>62</v>
      </c>
      <c r="B55" s="15">
        <v>6773.0</v>
      </c>
      <c r="C55" s="15">
        <v>7786.0</v>
      </c>
      <c r="D55" s="15">
        <v>8638.0</v>
      </c>
      <c r="E55" s="15">
        <v>6384.0</v>
      </c>
      <c r="F55" s="15">
        <v>7163.0</v>
      </c>
      <c r="G55" s="15">
        <v>8299.0</v>
      </c>
      <c r="H55" s="15">
        <v>9965.0</v>
      </c>
      <c r="I55" s="15">
        <v>11484.0</v>
      </c>
    </row>
    <row r="56" ht="15.75" customHeight="1">
      <c r="A56" s="4" t="s">
        <v>63</v>
      </c>
      <c r="B56" s="15">
        <v>1246.0</v>
      </c>
      <c r="C56" s="15">
        <v>318.0</v>
      </c>
      <c r="D56" s="15">
        <v>-213.0</v>
      </c>
      <c r="E56" s="15">
        <v>-92.0</v>
      </c>
      <c r="F56" s="15">
        <v>231.0</v>
      </c>
      <c r="G56" s="15">
        <v>-56.0</v>
      </c>
      <c r="H56" s="15">
        <v>-380.0</v>
      </c>
      <c r="I56" s="15">
        <v>318.0</v>
      </c>
    </row>
    <row r="57" ht="15.75" customHeight="1">
      <c r="A57" s="4" t="s">
        <v>64</v>
      </c>
      <c r="B57" s="15">
        <v>4685.0</v>
      </c>
      <c r="C57" s="15">
        <v>4151.0</v>
      </c>
      <c r="D57" s="15">
        <v>3979.0</v>
      </c>
      <c r="E57" s="15">
        <v>3517.0</v>
      </c>
      <c r="F57" s="15">
        <v>1643.0</v>
      </c>
      <c r="G57" s="15">
        <v>-191.0</v>
      </c>
      <c r="H57" s="15">
        <v>3179.0</v>
      </c>
      <c r="I57" s="15">
        <v>3476.0</v>
      </c>
    </row>
    <row r="58" ht="15.75" customHeight="1">
      <c r="A58" s="16" t="s">
        <v>65</v>
      </c>
      <c r="B58" s="17">
        <f t="shared" ref="B58:I58" si="10">+SUM(B53:B57)</f>
        <v>12707</v>
      </c>
      <c r="C58" s="17">
        <f t="shared" si="10"/>
        <v>12258</v>
      </c>
      <c r="D58" s="17">
        <f t="shared" si="10"/>
        <v>12407</v>
      </c>
      <c r="E58" s="17">
        <f t="shared" si="10"/>
        <v>9812</v>
      </c>
      <c r="F58" s="17">
        <f t="shared" si="10"/>
        <v>9040</v>
      </c>
      <c r="G58" s="17">
        <f t="shared" si="10"/>
        <v>8055</v>
      </c>
      <c r="H58" s="17">
        <f t="shared" si="10"/>
        <v>12767</v>
      </c>
      <c r="I58" s="17">
        <f t="shared" si="10"/>
        <v>15281</v>
      </c>
    </row>
    <row r="59" ht="15.75" customHeight="1">
      <c r="A59" s="18" t="s">
        <v>66</v>
      </c>
      <c r="B59" s="19">
        <f t="shared" ref="B59:I59" si="11">+SUM(B45:B50)+B58</f>
        <v>21597</v>
      </c>
      <c r="C59" s="19">
        <f t="shared" si="11"/>
        <v>21396</v>
      </c>
      <c r="D59" s="19">
        <f t="shared" si="11"/>
        <v>23259</v>
      </c>
      <c r="E59" s="19">
        <f t="shared" si="11"/>
        <v>22536</v>
      </c>
      <c r="F59" s="19">
        <f t="shared" si="11"/>
        <v>23717</v>
      </c>
      <c r="G59" s="19">
        <f t="shared" si="11"/>
        <v>31342</v>
      </c>
      <c r="H59" s="19">
        <f t="shared" si="11"/>
        <v>37740</v>
      </c>
      <c r="I59" s="19">
        <f t="shared" si="11"/>
        <v>40321</v>
      </c>
    </row>
    <row r="60" ht="15.75" customHeight="1">
      <c r="A60" s="22" t="s">
        <v>67</v>
      </c>
      <c r="B60" s="23">
        <f t="shared" ref="B60:I60" si="12">+B59-B36</f>
        <v>0</v>
      </c>
      <c r="C60" s="23">
        <f t="shared" si="12"/>
        <v>0</v>
      </c>
      <c r="D60" s="23">
        <f t="shared" si="12"/>
        <v>0</v>
      </c>
      <c r="E60" s="23">
        <f t="shared" si="12"/>
        <v>0</v>
      </c>
      <c r="F60" s="23">
        <f t="shared" si="12"/>
        <v>0</v>
      </c>
      <c r="G60" s="23">
        <f t="shared" si="12"/>
        <v>0</v>
      </c>
      <c r="H60" s="23">
        <f t="shared" si="12"/>
        <v>0</v>
      </c>
      <c r="I60" s="23">
        <f t="shared" si="12"/>
        <v>0</v>
      </c>
      <c r="J60" s="22"/>
      <c r="K60" s="22"/>
      <c r="L60" s="22"/>
      <c r="M60" s="22"/>
      <c r="N60" s="22"/>
      <c r="O60" s="22"/>
      <c r="P60" s="22"/>
      <c r="Q60" s="22"/>
      <c r="R60" s="22"/>
      <c r="S60" s="22"/>
      <c r="T60" s="22"/>
      <c r="U60" s="22"/>
      <c r="V60" s="22"/>
      <c r="W60" s="22"/>
      <c r="X60" s="22"/>
      <c r="Y60" s="22"/>
      <c r="Z60" s="22"/>
    </row>
    <row r="61" ht="15.75" customHeight="1">
      <c r="A61" s="24" t="s">
        <v>68</v>
      </c>
      <c r="B61" s="24"/>
      <c r="C61" s="24"/>
      <c r="D61" s="24"/>
      <c r="E61" s="24"/>
      <c r="F61" s="24"/>
      <c r="G61" s="24"/>
      <c r="H61" s="24"/>
      <c r="I61" s="24"/>
    </row>
    <row r="62" ht="15.75" customHeight="1">
      <c r="A62" s="2" t="s">
        <v>69</v>
      </c>
    </row>
    <row r="63" ht="15.75" customHeight="1">
      <c r="A63" s="3" t="s">
        <v>70</v>
      </c>
    </row>
    <row r="64" ht="15.75" customHeight="1">
      <c r="A64" s="25" t="s">
        <v>71</v>
      </c>
      <c r="B64" s="12">
        <f t="shared" ref="B64:I64" si="13">+B12</f>
        <v>3273</v>
      </c>
      <c r="C64" s="12">
        <f t="shared" si="13"/>
        <v>3760</v>
      </c>
      <c r="D64" s="12">
        <f t="shared" si="13"/>
        <v>4240</v>
      </c>
      <c r="E64" s="12">
        <f t="shared" si="13"/>
        <v>1933</v>
      </c>
      <c r="F64" s="12">
        <f t="shared" si="13"/>
        <v>4029</v>
      </c>
      <c r="G64" s="12">
        <f t="shared" si="13"/>
        <v>2539</v>
      </c>
      <c r="H64" s="12">
        <f t="shared" si="13"/>
        <v>5727</v>
      </c>
      <c r="I64" s="12">
        <f t="shared" si="13"/>
        <v>6046</v>
      </c>
      <c r="J64" s="3"/>
      <c r="K64" s="3"/>
      <c r="L64" s="3"/>
      <c r="M64" s="3"/>
      <c r="N64" s="3"/>
      <c r="O64" s="3"/>
      <c r="P64" s="3"/>
      <c r="Q64" s="3"/>
      <c r="R64" s="3"/>
      <c r="S64" s="3"/>
      <c r="T64" s="3"/>
      <c r="U64" s="3"/>
      <c r="V64" s="3"/>
      <c r="W64" s="3"/>
      <c r="X64" s="3"/>
      <c r="Y64" s="3"/>
      <c r="Z64" s="3"/>
    </row>
    <row r="65" ht="15.75" customHeight="1">
      <c r="A65" s="4" t="s">
        <v>72</v>
      </c>
      <c r="B65" s="9"/>
      <c r="C65" s="9"/>
      <c r="D65" s="9"/>
      <c r="E65" s="9"/>
      <c r="F65" s="9"/>
      <c r="G65" s="9"/>
      <c r="H65" s="9"/>
      <c r="I65" s="9"/>
      <c r="J65" s="3"/>
      <c r="K65" s="3"/>
      <c r="L65" s="3"/>
      <c r="M65" s="3"/>
      <c r="N65" s="3"/>
      <c r="O65" s="3"/>
      <c r="P65" s="3"/>
      <c r="Q65" s="3"/>
      <c r="R65" s="3"/>
      <c r="S65" s="3"/>
      <c r="T65" s="3"/>
      <c r="U65" s="3"/>
      <c r="V65" s="3"/>
      <c r="W65" s="3"/>
      <c r="X65" s="3"/>
      <c r="Y65" s="3"/>
      <c r="Z65" s="3"/>
    </row>
    <row r="66" ht="15.75" customHeight="1">
      <c r="A66" s="4" t="s">
        <v>73</v>
      </c>
      <c r="B66" s="15">
        <v>606.0</v>
      </c>
      <c r="C66" s="15">
        <v>649.0</v>
      </c>
      <c r="D66" s="15">
        <v>706.0</v>
      </c>
      <c r="E66" s="15">
        <v>747.0</v>
      </c>
      <c r="F66" s="15">
        <v>705.0</v>
      </c>
      <c r="G66" s="15">
        <v>721.0</v>
      </c>
      <c r="H66" s="9">
        <v>744.0</v>
      </c>
      <c r="I66" s="9">
        <v>717.0</v>
      </c>
    </row>
    <row r="67" ht="15.75" customHeight="1">
      <c r="A67" s="4" t="s">
        <v>74</v>
      </c>
      <c r="B67" s="15">
        <v>-113.0</v>
      </c>
      <c r="C67" s="15">
        <v>-80.0</v>
      </c>
      <c r="D67" s="15">
        <v>-273.0</v>
      </c>
      <c r="E67" s="15">
        <v>647.0</v>
      </c>
      <c r="F67" s="15">
        <v>34.0</v>
      </c>
      <c r="G67" s="15">
        <v>-380.0</v>
      </c>
      <c r="H67" s="9">
        <v>-385.0</v>
      </c>
      <c r="I67" s="9">
        <v>-650.0</v>
      </c>
    </row>
    <row r="68" ht="15.75" customHeight="1">
      <c r="A68" s="4" t="s">
        <v>75</v>
      </c>
      <c r="B68" s="15">
        <v>191.0</v>
      </c>
      <c r="C68" s="15">
        <v>236.0</v>
      </c>
      <c r="D68" s="15">
        <v>215.0</v>
      </c>
      <c r="E68" s="15">
        <v>218.0</v>
      </c>
      <c r="F68" s="15">
        <v>325.0</v>
      </c>
      <c r="G68" s="15">
        <v>429.0</v>
      </c>
      <c r="H68" s="9">
        <v>611.0</v>
      </c>
      <c r="I68" s="9">
        <v>638.0</v>
      </c>
    </row>
    <row r="69" ht="15.75" customHeight="1">
      <c r="A69" s="4" t="s">
        <v>76</v>
      </c>
      <c r="B69" s="15">
        <v>43.0</v>
      </c>
      <c r="C69" s="15">
        <v>13.0</v>
      </c>
      <c r="D69" s="15">
        <v>10.0</v>
      </c>
      <c r="E69" s="15">
        <v>27.0</v>
      </c>
      <c r="F69" s="15">
        <v>15.0</v>
      </c>
      <c r="G69" s="15">
        <v>398.0</v>
      </c>
      <c r="H69" s="9">
        <v>53.0</v>
      </c>
      <c r="I69" s="9">
        <v>123.0</v>
      </c>
    </row>
    <row r="70" ht="15.75" customHeight="1">
      <c r="A70" s="4" t="s">
        <v>77</v>
      </c>
      <c r="B70" s="15">
        <v>424.0</v>
      </c>
      <c r="C70" s="15">
        <v>98.0</v>
      </c>
      <c r="D70" s="15">
        <v>-117.0</v>
      </c>
      <c r="E70" s="15">
        <v>-99.0</v>
      </c>
      <c r="F70" s="15">
        <v>233.0</v>
      </c>
      <c r="G70" s="15">
        <v>23.0</v>
      </c>
      <c r="H70" s="9">
        <v>-138.0</v>
      </c>
      <c r="I70" s="9">
        <v>-26.0</v>
      </c>
    </row>
    <row r="71" ht="15.75" customHeight="1">
      <c r="A71" s="4" t="s">
        <v>78</v>
      </c>
      <c r="B71" s="15"/>
      <c r="C71" s="15"/>
      <c r="D71" s="15"/>
      <c r="E71" s="15"/>
      <c r="F71" s="15"/>
      <c r="G71" s="15"/>
      <c r="H71" s="9"/>
      <c r="I71" s="9"/>
    </row>
    <row r="72" ht="15.75" customHeight="1">
      <c r="A72" s="4" t="s">
        <v>79</v>
      </c>
      <c r="B72" s="15">
        <v>-216.0</v>
      </c>
      <c r="C72" s="15">
        <v>60.0</v>
      </c>
      <c r="D72" s="15">
        <v>-426.0</v>
      </c>
      <c r="E72" s="15">
        <v>187.0</v>
      </c>
      <c r="F72" s="15">
        <v>-270.0</v>
      </c>
      <c r="G72" s="15">
        <v>1239.0</v>
      </c>
      <c r="H72" s="9">
        <v>-1606.0</v>
      </c>
      <c r="I72" s="9">
        <v>-504.0</v>
      </c>
    </row>
    <row r="73" ht="15.75" customHeight="1">
      <c r="A73" s="4" t="s">
        <v>80</v>
      </c>
      <c r="B73" s="15">
        <v>-621.0</v>
      </c>
      <c r="C73" s="15">
        <v>-590.0</v>
      </c>
      <c r="D73" s="15">
        <v>-231.0</v>
      </c>
      <c r="E73" s="15">
        <v>-255.0</v>
      </c>
      <c r="F73" s="15">
        <v>-490.0</v>
      </c>
      <c r="G73" s="15">
        <v>-1854.0</v>
      </c>
      <c r="H73" s="9">
        <v>507.0</v>
      </c>
      <c r="I73" s="9">
        <v>-1676.0</v>
      </c>
    </row>
    <row r="74" ht="15.75" customHeight="1">
      <c r="A74" s="4" t="s">
        <v>81</v>
      </c>
      <c r="B74" s="15">
        <v>-144.0</v>
      </c>
      <c r="C74" s="15">
        <v>-161.0</v>
      </c>
      <c r="D74" s="15">
        <v>-120.0</v>
      </c>
      <c r="E74" s="15">
        <v>35.0</v>
      </c>
      <c r="F74" s="15">
        <v>-203.0</v>
      </c>
      <c r="G74" s="15">
        <v>-654.0</v>
      </c>
      <c r="H74" s="9">
        <v>-182.0</v>
      </c>
      <c r="I74" s="9">
        <v>-845.0</v>
      </c>
    </row>
    <row r="75" ht="15.75" customHeight="1">
      <c r="A75" s="4" t="s">
        <v>82</v>
      </c>
      <c r="B75" s="15">
        <v>1237.0</v>
      </c>
      <c r="C75" s="15">
        <v>-889.0</v>
      </c>
      <c r="D75" s="15">
        <v>-158.0</v>
      </c>
      <c r="E75" s="15">
        <v>1515.0</v>
      </c>
      <c r="F75" s="15">
        <v>1525.0</v>
      </c>
      <c r="G75" s="15">
        <v>24.0</v>
      </c>
      <c r="H75" s="9">
        <v>1326.0</v>
      </c>
      <c r="I75" s="9">
        <v>1365.0</v>
      </c>
    </row>
    <row r="76" ht="15.75" customHeight="1">
      <c r="A76" s="26" t="s">
        <v>83</v>
      </c>
      <c r="B76" s="27">
        <f t="shared" ref="B76:I76" si="14">+SUM(B64:B75)</f>
        <v>4680</v>
      </c>
      <c r="C76" s="27">
        <f t="shared" si="14"/>
        <v>3096</v>
      </c>
      <c r="D76" s="27">
        <f t="shared" si="14"/>
        <v>3846</v>
      </c>
      <c r="E76" s="27">
        <f t="shared" si="14"/>
        <v>4955</v>
      </c>
      <c r="F76" s="27">
        <f t="shared" si="14"/>
        <v>5903</v>
      </c>
      <c r="G76" s="27">
        <f t="shared" si="14"/>
        <v>2485</v>
      </c>
      <c r="H76" s="27">
        <f t="shared" si="14"/>
        <v>6657</v>
      </c>
      <c r="I76" s="27">
        <f t="shared" si="14"/>
        <v>5188</v>
      </c>
    </row>
    <row r="77" ht="15.75" customHeight="1">
      <c r="A77" s="3" t="s">
        <v>84</v>
      </c>
      <c r="B77" s="9"/>
      <c r="C77" s="9"/>
      <c r="D77" s="9"/>
      <c r="E77" s="9"/>
      <c r="F77" s="9"/>
      <c r="G77" s="9"/>
      <c r="H77" s="9"/>
      <c r="I77" s="9"/>
    </row>
    <row r="78" ht="15.75" customHeight="1">
      <c r="A78" s="4" t="s">
        <v>85</v>
      </c>
      <c r="B78" s="15">
        <v>-4936.0</v>
      </c>
      <c r="C78" s="15">
        <v>-5367.0</v>
      </c>
      <c r="D78" s="15">
        <v>-5928.0</v>
      </c>
      <c r="E78" s="15">
        <v>-4783.0</v>
      </c>
      <c r="F78" s="15">
        <v>-2937.0</v>
      </c>
      <c r="G78" s="15">
        <v>-2426.0</v>
      </c>
      <c r="H78" s="15">
        <v>-9961.0</v>
      </c>
      <c r="I78" s="15">
        <v>-12913.0</v>
      </c>
    </row>
    <row r="79" ht="15.75" customHeight="1">
      <c r="A79" s="4" t="s">
        <v>86</v>
      </c>
      <c r="B79" s="15">
        <v>3655.0</v>
      </c>
      <c r="C79" s="15">
        <v>2924.0</v>
      </c>
      <c r="D79" s="15">
        <v>3623.0</v>
      </c>
      <c r="E79" s="15">
        <v>3613.0</v>
      </c>
      <c r="F79" s="15">
        <v>1715.0</v>
      </c>
      <c r="G79" s="15">
        <v>74.0</v>
      </c>
      <c r="H79" s="15">
        <v>4236.0</v>
      </c>
      <c r="I79" s="15">
        <v>8199.0</v>
      </c>
    </row>
    <row r="80" ht="15.75" customHeight="1">
      <c r="A80" s="4" t="s">
        <v>87</v>
      </c>
      <c r="B80" s="15">
        <v>2216.0</v>
      </c>
      <c r="C80" s="15">
        <v>2386.0</v>
      </c>
      <c r="D80" s="15">
        <v>2423.0</v>
      </c>
      <c r="E80" s="15">
        <v>2496.0</v>
      </c>
      <c r="F80" s="15">
        <v>2072.0</v>
      </c>
      <c r="G80" s="15">
        <v>2379.0</v>
      </c>
      <c r="H80" s="15">
        <v>2449.0</v>
      </c>
      <c r="I80" s="15">
        <v>3967.0</v>
      </c>
    </row>
    <row r="81" ht="15.75" customHeight="1">
      <c r="A81" s="4"/>
      <c r="B81" s="15">
        <v>-150.0</v>
      </c>
      <c r="C81" s="15">
        <v>150.0</v>
      </c>
      <c r="D81" s="15">
        <v>0.0</v>
      </c>
      <c r="E81" s="15">
        <v>0.0</v>
      </c>
      <c r="F81" s="15">
        <v>0.0</v>
      </c>
      <c r="G81" s="15">
        <v>0.0</v>
      </c>
      <c r="H81" s="15">
        <v>0.0</v>
      </c>
      <c r="I81" s="15">
        <v>0.0</v>
      </c>
    </row>
    <row r="82" ht="15.75" customHeight="1">
      <c r="A82" s="4" t="s">
        <v>88</v>
      </c>
      <c r="B82" s="15">
        <v>-963.0</v>
      </c>
      <c r="C82" s="15">
        <v>-1143.0</v>
      </c>
      <c r="D82" s="15">
        <v>-1105.0</v>
      </c>
      <c r="E82" s="15">
        <v>-1028.0</v>
      </c>
      <c r="F82" s="15">
        <v>-1119.0</v>
      </c>
      <c r="G82" s="15">
        <v>-1086.0</v>
      </c>
      <c r="H82" s="15">
        <v>-695.0</v>
      </c>
      <c r="I82" s="15">
        <v>-758.0</v>
      </c>
    </row>
    <row r="83" ht="15.75" customHeight="1">
      <c r="A83" s="4"/>
      <c r="B83" s="15">
        <v>3.0</v>
      </c>
      <c r="C83" s="15">
        <v>10.0</v>
      </c>
      <c r="D83" s="15">
        <v>13.0</v>
      </c>
      <c r="E83" s="15">
        <v>3.0</v>
      </c>
      <c r="F83" s="15">
        <v>0.0</v>
      </c>
      <c r="G83" s="15">
        <v>0.0</v>
      </c>
      <c r="H83" s="15">
        <v>0.0</v>
      </c>
      <c r="I83" s="15">
        <v>0.0</v>
      </c>
    </row>
    <row r="84" ht="15.75" customHeight="1">
      <c r="A84" s="4" t="s">
        <v>89</v>
      </c>
      <c r="B84" s="15">
        <v>0.0</v>
      </c>
      <c r="C84" s="15">
        <v>6.0</v>
      </c>
      <c r="D84" s="15">
        <v>-34.0</v>
      </c>
      <c r="E84" s="15">
        <v>-25.0</v>
      </c>
      <c r="F84" s="15">
        <v>5.0</v>
      </c>
      <c r="G84" s="15">
        <v>31.0</v>
      </c>
      <c r="H84" s="15">
        <v>171.0</v>
      </c>
      <c r="I84" s="15">
        <v>-19.0</v>
      </c>
    </row>
    <row r="85" ht="15.75" customHeight="1">
      <c r="A85" s="28" t="s">
        <v>90</v>
      </c>
      <c r="B85" s="27">
        <f t="shared" ref="B85:I85" si="15">+SUM(B78:B84)</f>
        <v>-175</v>
      </c>
      <c r="C85" s="27">
        <f t="shared" si="15"/>
        <v>-1034</v>
      </c>
      <c r="D85" s="27">
        <f t="shared" si="15"/>
        <v>-1008</v>
      </c>
      <c r="E85" s="27">
        <f t="shared" si="15"/>
        <v>276</v>
      </c>
      <c r="F85" s="27">
        <f t="shared" si="15"/>
        <v>-264</v>
      </c>
      <c r="G85" s="27">
        <f t="shared" si="15"/>
        <v>-1028</v>
      </c>
      <c r="H85" s="27">
        <f t="shared" si="15"/>
        <v>-3800</v>
      </c>
      <c r="I85" s="27">
        <f t="shared" si="15"/>
        <v>-1524</v>
      </c>
    </row>
    <row r="86" ht="15.75" customHeight="1">
      <c r="A86" s="3" t="s">
        <v>91</v>
      </c>
      <c r="B86" s="9"/>
      <c r="C86" s="9"/>
      <c r="D86" s="9"/>
      <c r="E86" s="9"/>
      <c r="F86" s="9"/>
      <c r="G86" s="9"/>
      <c r="H86" s="9"/>
      <c r="I86" s="9"/>
    </row>
    <row r="87" ht="15.75" customHeight="1">
      <c r="A87" s="4" t="s">
        <v>92</v>
      </c>
      <c r="B87" s="9">
        <v>0.0</v>
      </c>
      <c r="C87" s="9">
        <v>981.0</v>
      </c>
      <c r="D87" s="9">
        <v>1482.0</v>
      </c>
      <c r="E87" s="9">
        <v>0.0</v>
      </c>
      <c r="F87" s="9">
        <v>0.0</v>
      </c>
      <c r="G87" s="9">
        <v>6134.0</v>
      </c>
      <c r="H87" s="9">
        <v>0.0</v>
      </c>
      <c r="I87" s="9">
        <v>0.0</v>
      </c>
    </row>
    <row r="88" ht="15.75" customHeight="1">
      <c r="A88" s="4" t="s">
        <v>93</v>
      </c>
      <c r="B88" s="9">
        <v>-63.0</v>
      </c>
      <c r="C88" s="9">
        <v>-67.0</v>
      </c>
      <c r="D88" s="9">
        <v>327.0</v>
      </c>
      <c r="E88" s="9">
        <v>13.0</v>
      </c>
      <c r="F88" s="9">
        <v>-325.0</v>
      </c>
      <c r="G88" s="9">
        <v>49.0</v>
      </c>
      <c r="H88" s="9">
        <v>-52.0</v>
      </c>
      <c r="I88" s="9">
        <v>15.0</v>
      </c>
    </row>
    <row r="89" ht="15.75" customHeight="1">
      <c r="A89" s="4" t="s">
        <v>94</v>
      </c>
      <c r="B89" s="9">
        <v>-7.0</v>
      </c>
      <c r="C89" s="9">
        <v>-106.0</v>
      </c>
      <c r="D89" s="9">
        <v>-44.0</v>
      </c>
      <c r="E89" s="9">
        <v>-6.0</v>
      </c>
      <c r="F89" s="9">
        <v>-6.0</v>
      </c>
      <c r="G89" s="9">
        <v>-6.0</v>
      </c>
      <c r="H89" s="9">
        <v>-197.0</v>
      </c>
      <c r="I89" s="9">
        <v>0.0</v>
      </c>
    </row>
    <row r="90" ht="15.75" customHeight="1">
      <c r="A90" s="4" t="s">
        <v>95</v>
      </c>
      <c r="B90" s="9">
        <v>514.0</v>
      </c>
      <c r="C90" s="9">
        <v>507.0</v>
      </c>
      <c r="D90" s="9">
        <v>489.0</v>
      </c>
      <c r="E90" s="9">
        <v>733.0</v>
      </c>
      <c r="F90" s="9">
        <v>700.0</v>
      </c>
      <c r="G90" s="9">
        <v>885.0</v>
      </c>
      <c r="H90" s="9">
        <v>1172.0</v>
      </c>
      <c r="I90" s="9">
        <v>1151.0</v>
      </c>
    </row>
    <row r="91" ht="15.75" customHeight="1">
      <c r="A91" s="4" t="s">
        <v>96</v>
      </c>
      <c r="B91" s="9">
        <v>-2534.0</v>
      </c>
      <c r="C91" s="9">
        <v>-3238.0</v>
      </c>
      <c r="D91" s="9">
        <v>-3223.0</v>
      </c>
      <c r="E91" s="9">
        <v>-4254.0</v>
      </c>
      <c r="F91" s="9">
        <v>-4286.0</v>
      </c>
      <c r="G91" s="9">
        <v>-3067.0</v>
      </c>
      <c r="H91" s="9">
        <v>-608.0</v>
      </c>
      <c r="I91" s="9">
        <v>-4014.0</v>
      </c>
    </row>
    <row r="92" ht="15.75" customHeight="1">
      <c r="A92" s="4" t="s">
        <v>97</v>
      </c>
      <c r="B92" s="9">
        <v>-899.0</v>
      </c>
      <c r="C92" s="9">
        <v>-1022.0</v>
      </c>
      <c r="D92" s="9">
        <v>-1133.0</v>
      </c>
      <c r="E92" s="9">
        <v>-1243.0</v>
      </c>
      <c r="F92" s="9">
        <v>-1332.0</v>
      </c>
      <c r="G92" s="9">
        <v>-1452.0</v>
      </c>
      <c r="H92" s="9">
        <v>-1638.0</v>
      </c>
      <c r="I92" s="9">
        <v>-1837.0</v>
      </c>
    </row>
    <row r="93" ht="15.75" customHeight="1">
      <c r="A93" s="4" t="s">
        <v>98</v>
      </c>
      <c r="B93" s="9">
        <f>(218-19)</f>
        <v>199</v>
      </c>
      <c r="C93" s="9">
        <f>(281-7)</f>
        <v>274</v>
      </c>
      <c r="D93" s="9">
        <f>(-17-29)</f>
        <v>-46</v>
      </c>
      <c r="E93" s="9">
        <f>(-23-55)</f>
        <v>-78</v>
      </c>
      <c r="F93" s="9">
        <v>-44.0</v>
      </c>
      <c r="G93" s="9">
        <v>-52.0</v>
      </c>
      <c r="H93" s="9">
        <v>-136.0</v>
      </c>
      <c r="I93" s="9">
        <v>-151.0</v>
      </c>
    </row>
    <row r="94" ht="15.75" customHeight="1">
      <c r="A94" s="28" t="s">
        <v>99</v>
      </c>
      <c r="B94" s="27">
        <f t="shared" ref="B94:I94" si="16">+SUM(B87:B93)</f>
        <v>-2790</v>
      </c>
      <c r="C94" s="27">
        <f t="shared" si="16"/>
        <v>-2671</v>
      </c>
      <c r="D94" s="27">
        <f t="shared" si="16"/>
        <v>-2148</v>
      </c>
      <c r="E94" s="27">
        <f t="shared" si="16"/>
        <v>-4835</v>
      </c>
      <c r="F94" s="27">
        <f t="shared" si="16"/>
        <v>-5293</v>
      </c>
      <c r="G94" s="27">
        <f t="shared" si="16"/>
        <v>2491</v>
      </c>
      <c r="H94" s="27">
        <f t="shared" si="16"/>
        <v>-1459</v>
      </c>
      <c r="I94" s="27">
        <f t="shared" si="16"/>
        <v>-4836</v>
      </c>
    </row>
    <row r="95" ht="15.75" customHeight="1">
      <c r="A95" s="4" t="s">
        <v>100</v>
      </c>
      <c r="B95" s="15">
        <v>-83.0</v>
      </c>
      <c r="C95" s="15">
        <v>-105.0</v>
      </c>
      <c r="D95" s="15">
        <v>-20.0</v>
      </c>
      <c r="E95" s="15">
        <v>45.0</v>
      </c>
      <c r="F95" s="15">
        <v>-129.0</v>
      </c>
      <c r="G95" s="15">
        <v>-66.0</v>
      </c>
      <c r="H95" s="15">
        <v>143.0</v>
      </c>
      <c r="I95" s="15">
        <v>-143.0</v>
      </c>
    </row>
    <row r="96" ht="15.75" customHeight="1">
      <c r="A96" s="28" t="s">
        <v>101</v>
      </c>
      <c r="B96" s="27">
        <f t="shared" ref="B96:I96" si="17">+B76+B85+B94+B95</f>
        <v>1632</v>
      </c>
      <c r="C96" s="27">
        <f t="shared" si="17"/>
        <v>-714</v>
      </c>
      <c r="D96" s="27">
        <f t="shared" si="17"/>
        <v>670</v>
      </c>
      <c r="E96" s="27">
        <f t="shared" si="17"/>
        <v>441</v>
      </c>
      <c r="F96" s="27">
        <f t="shared" si="17"/>
        <v>217</v>
      </c>
      <c r="G96" s="27">
        <f t="shared" si="17"/>
        <v>3882</v>
      </c>
      <c r="H96" s="27">
        <f t="shared" si="17"/>
        <v>1541</v>
      </c>
      <c r="I96" s="27">
        <f t="shared" si="17"/>
        <v>-1315</v>
      </c>
    </row>
    <row r="97" ht="15.75" customHeight="1">
      <c r="A97" s="2" t="s">
        <v>102</v>
      </c>
      <c r="B97" s="9">
        <v>2220.0</v>
      </c>
      <c r="C97" s="9">
        <v>3852.0</v>
      </c>
      <c r="D97" s="9">
        <v>3138.0</v>
      </c>
      <c r="E97" s="9">
        <v>3808.0</v>
      </c>
      <c r="F97" s="9">
        <v>4249.0</v>
      </c>
      <c r="G97" s="9">
        <v>4466.0</v>
      </c>
      <c r="H97" s="9">
        <v>8348.0</v>
      </c>
      <c r="I97" s="9">
        <f>+H98</f>
        <v>9889</v>
      </c>
    </row>
    <row r="98" ht="15.75" customHeight="1">
      <c r="A98" s="18" t="s">
        <v>103</v>
      </c>
      <c r="B98" s="19">
        <f t="shared" ref="B98:I98" si="18">+B96+B97</f>
        <v>3852</v>
      </c>
      <c r="C98" s="19">
        <f t="shared" si="18"/>
        <v>3138</v>
      </c>
      <c r="D98" s="19">
        <f t="shared" si="18"/>
        <v>3808</v>
      </c>
      <c r="E98" s="19">
        <f t="shared" si="18"/>
        <v>4249</v>
      </c>
      <c r="F98" s="19">
        <f t="shared" si="18"/>
        <v>4466</v>
      </c>
      <c r="G98" s="19">
        <f t="shared" si="18"/>
        <v>8348</v>
      </c>
      <c r="H98" s="19">
        <f t="shared" si="18"/>
        <v>9889</v>
      </c>
      <c r="I98" s="19">
        <f t="shared" si="18"/>
        <v>8574</v>
      </c>
    </row>
    <row r="99" ht="15.75" customHeight="1">
      <c r="A99" s="22" t="s">
        <v>104</v>
      </c>
      <c r="B99" s="23">
        <f t="shared" ref="B99:I99" si="19">+B98-B25</f>
        <v>0</v>
      </c>
      <c r="C99" s="23">
        <f t="shared" si="19"/>
        <v>0</v>
      </c>
      <c r="D99" s="23">
        <f t="shared" si="19"/>
        <v>0</v>
      </c>
      <c r="E99" s="23">
        <f t="shared" si="19"/>
        <v>0</v>
      </c>
      <c r="F99" s="23">
        <f t="shared" si="19"/>
        <v>0</v>
      </c>
      <c r="G99" s="23">
        <f t="shared" si="19"/>
        <v>0</v>
      </c>
      <c r="H99" s="23">
        <f t="shared" si="19"/>
        <v>0</v>
      </c>
      <c r="I99" s="23">
        <f t="shared" si="19"/>
        <v>0</v>
      </c>
      <c r="J99" s="22"/>
      <c r="K99" s="22"/>
      <c r="L99" s="22"/>
      <c r="M99" s="22"/>
      <c r="N99" s="22"/>
      <c r="O99" s="22"/>
      <c r="P99" s="22"/>
      <c r="Q99" s="22"/>
      <c r="R99" s="22"/>
      <c r="S99" s="22"/>
      <c r="T99" s="22"/>
      <c r="U99" s="22"/>
      <c r="V99" s="22"/>
      <c r="W99" s="22"/>
      <c r="X99" s="22"/>
      <c r="Y99" s="22"/>
      <c r="Z99" s="22"/>
    </row>
    <row r="100" ht="15.75" customHeight="1">
      <c r="A100" s="2" t="s">
        <v>105</v>
      </c>
      <c r="B100" s="9"/>
      <c r="C100" s="9"/>
      <c r="D100" s="9"/>
      <c r="E100" s="9"/>
      <c r="F100" s="9"/>
      <c r="G100" s="9"/>
      <c r="H100" s="9"/>
      <c r="I100" s="9"/>
    </row>
    <row r="101" ht="15.75" customHeight="1">
      <c r="A101" s="4" t="s">
        <v>106</v>
      </c>
      <c r="B101" s="9"/>
      <c r="C101" s="9"/>
      <c r="D101" s="9"/>
      <c r="E101" s="9"/>
      <c r="F101" s="9"/>
      <c r="G101" s="9"/>
      <c r="H101" s="9"/>
      <c r="I101" s="9"/>
    </row>
    <row r="102" ht="15.75" customHeight="1">
      <c r="A102" s="4" t="s">
        <v>107</v>
      </c>
      <c r="B102" s="9">
        <v>53.0</v>
      </c>
      <c r="C102" s="9">
        <v>70.0</v>
      </c>
      <c r="D102" s="9">
        <v>98.0</v>
      </c>
      <c r="E102" s="9">
        <v>125.0</v>
      </c>
      <c r="F102" s="9">
        <v>153.0</v>
      </c>
      <c r="G102" s="9">
        <v>140.0</v>
      </c>
      <c r="H102" s="9">
        <v>293.0</v>
      </c>
      <c r="I102" s="9">
        <v>290.0</v>
      </c>
    </row>
    <row r="103" ht="15.75" customHeight="1">
      <c r="A103" s="4" t="s">
        <v>108</v>
      </c>
      <c r="B103" s="9">
        <v>1262.0</v>
      </c>
      <c r="C103" s="9">
        <v>748.0</v>
      </c>
      <c r="D103" s="9">
        <v>703.0</v>
      </c>
      <c r="E103" s="9">
        <v>529.0</v>
      </c>
      <c r="F103" s="9">
        <v>757.0</v>
      </c>
      <c r="G103" s="9">
        <v>1028.0</v>
      </c>
      <c r="H103" s="9">
        <v>1177.0</v>
      </c>
      <c r="I103" s="9">
        <v>1231.0</v>
      </c>
    </row>
    <row r="104" ht="15.75" customHeight="1">
      <c r="A104" s="4" t="s">
        <v>109</v>
      </c>
      <c r="B104" s="9">
        <v>206.0</v>
      </c>
      <c r="C104" s="9">
        <v>252.0</v>
      </c>
      <c r="D104" s="9">
        <v>266.0</v>
      </c>
      <c r="E104" s="9">
        <v>294.0</v>
      </c>
      <c r="F104" s="9">
        <v>160.0</v>
      </c>
      <c r="G104" s="9">
        <v>121.0</v>
      </c>
      <c r="H104" s="9">
        <v>179.0</v>
      </c>
      <c r="I104" s="9">
        <v>160.0</v>
      </c>
    </row>
    <row r="105" ht="15.75" customHeight="1">
      <c r="A105" s="4" t="s">
        <v>110</v>
      </c>
      <c r="B105" s="9">
        <v>240.0</v>
      </c>
      <c r="C105" s="9">
        <v>271.0</v>
      </c>
      <c r="D105" s="9">
        <v>300.0</v>
      </c>
      <c r="E105" s="9">
        <v>320.0</v>
      </c>
      <c r="F105" s="9">
        <v>347.0</v>
      </c>
      <c r="G105" s="9">
        <v>385.0</v>
      </c>
      <c r="H105" s="9">
        <v>438.0</v>
      </c>
      <c r="I105" s="9">
        <v>480.0</v>
      </c>
    </row>
    <row r="106" ht="15.75" customHeight="1"/>
    <row r="107" ht="15.75" customHeight="1">
      <c r="A107" s="24" t="s">
        <v>111</v>
      </c>
      <c r="B107" s="24"/>
      <c r="C107" s="24"/>
      <c r="D107" s="24"/>
      <c r="E107" s="24"/>
      <c r="F107" s="24"/>
      <c r="G107" s="24"/>
      <c r="H107" s="24"/>
      <c r="I107" s="24"/>
    </row>
    <row r="108" ht="15.75" customHeight="1">
      <c r="A108" s="25" t="s">
        <v>112</v>
      </c>
      <c r="B108" s="9"/>
      <c r="C108" s="9"/>
      <c r="D108" s="9"/>
      <c r="E108" s="9"/>
      <c r="F108" s="9"/>
      <c r="G108" s="9"/>
      <c r="H108" s="9"/>
      <c r="I108" s="9"/>
    </row>
    <row r="109" ht="15.75" customHeight="1">
      <c r="A109" s="4" t="s">
        <v>113</v>
      </c>
      <c r="B109" s="9">
        <f t="shared" ref="B109:I109" si="20">+SUM(B110:B112)</f>
        <v>13740</v>
      </c>
      <c r="C109" s="9">
        <f t="shared" si="20"/>
        <v>14764</v>
      </c>
      <c r="D109" s="9">
        <f t="shared" si="20"/>
        <v>15216</v>
      </c>
      <c r="E109" s="9">
        <f t="shared" si="20"/>
        <v>14855</v>
      </c>
      <c r="F109" s="9">
        <f t="shared" si="20"/>
        <v>15902</v>
      </c>
      <c r="G109" s="9">
        <f t="shared" si="20"/>
        <v>14484</v>
      </c>
      <c r="H109" s="9">
        <f t="shared" si="20"/>
        <v>17179</v>
      </c>
      <c r="I109" s="9">
        <f t="shared" si="20"/>
        <v>18353</v>
      </c>
    </row>
    <row r="110" ht="15.75" customHeight="1">
      <c r="A110" s="4" t="s">
        <v>114</v>
      </c>
      <c r="B110" s="29">
        <v>8506.0</v>
      </c>
      <c r="C110" s="29">
        <v>9299.0</v>
      </c>
      <c r="D110" s="29">
        <v>9684.0</v>
      </c>
      <c r="E110" s="29">
        <v>9322.0</v>
      </c>
      <c r="F110" s="29">
        <v>10045.0</v>
      </c>
      <c r="G110" s="29">
        <v>9329.0</v>
      </c>
      <c r="H110" s="30">
        <v>11644.0</v>
      </c>
      <c r="I110" s="30">
        <v>12228.0</v>
      </c>
    </row>
    <row r="111" ht="15.75" customHeight="1">
      <c r="A111" s="4" t="s">
        <v>115</v>
      </c>
      <c r="B111" s="29">
        <v>4410.0</v>
      </c>
      <c r="C111" s="29">
        <v>4746.0</v>
      </c>
      <c r="D111" s="29">
        <v>4886.0</v>
      </c>
      <c r="E111" s="29">
        <v>4938.0</v>
      </c>
      <c r="F111" s="29">
        <v>5260.0</v>
      </c>
      <c r="G111" s="29">
        <v>4639.0</v>
      </c>
      <c r="H111" s="30">
        <v>5028.0</v>
      </c>
      <c r="I111" s="30">
        <v>5492.0</v>
      </c>
    </row>
    <row r="112" ht="15.75" customHeight="1">
      <c r="A112" s="4" t="s">
        <v>116</v>
      </c>
      <c r="B112" s="29">
        <v>824.0</v>
      </c>
      <c r="C112" s="29">
        <v>719.0</v>
      </c>
      <c r="D112" s="29">
        <v>646.0</v>
      </c>
      <c r="E112" s="29">
        <v>595.0</v>
      </c>
      <c r="F112" s="29">
        <v>597.0</v>
      </c>
      <c r="G112" s="29">
        <v>516.0</v>
      </c>
      <c r="H112" s="29">
        <v>507.0</v>
      </c>
      <c r="I112" s="29">
        <v>633.0</v>
      </c>
    </row>
    <row r="113" ht="15.75" customHeight="1">
      <c r="A113" s="4" t="s">
        <v>117</v>
      </c>
      <c r="B113" s="9">
        <f t="shared" ref="B113:I113" si="21">+SUM(B114:B116)</f>
        <v>7126</v>
      </c>
      <c r="C113" s="9">
        <f t="shared" si="21"/>
        <v>7315</v>
      </c>
      <c r="D113" s="9">
        <f t="shared" si="21"/>
        <v>7970</v>
      </c>
      <c r="E113" s="9">
        <f t="shared" si="21"/>
        <v>9242</v>
      </c>
      <c r="F113" s="9">
        <f t="shared" si="21"/>
        <v>9812</v>
      </c>
      <c r="G113" s="9">
        <f t="shared" si="21"/>
        <v>9347</v>
      </c>
      <c r="H113" s="9">
        <f t="shared" si="21"/>
        <v>11456</v>
      </c>
      <c r="I113" s="9">
        <f t="shared" si="21"/>
        <v>12479</v>
      </c>
    </row>
    <row r="114" ht="15.75" customHeight="1">
      <c r="A114" s="4" t="s">
        <v>114</v>
      </c>
      <c r="B114" s="2">
        <f>3876+827</f>
        <v>4703</v>
      </c>
      <c r="C114" s="2">
        <f>882+3985</f>
        <v>4867</v>
      </c>
      <c r="D114" s="2">
        <v>5192.0</v>
      </c>
      <c r="E114" s="2">
        <v>5875.0</v>
      </c>
      <c r="F114" s="2">
        <v>6293.0</v>
      </c>
      <c r="G114" s="2">
        <v>5892.0</v>
      </c>
      <c r="H114" s="21">
        <v>6970.0</v>
      </c>
      <c r="I114" s="21">
        <v>7388.0</v>
      </c>
    </row>
    <row r="115" ht="15.75" customHeight="1">
      <c r="A115" s="4" t="s">
        <v>115</v>
      </c>
      <c r="B115" s="2">
        <f>1552+499</f>
        <v>2051</v>
      </c>
      <c r="C115" s="2">
        <f>1628+463</f>
        <v>2091</v>
      </c>
      <c r="D115" s="2">
        <v>2395.0</v>
      </c>
      <c r="E115" s="2">
        <v>2940.0</v>
      </c>
      <c r="F115" s="2">
        <v>3087.0</v>
      </c>
      <c r="G115" s="2">
        <v>3053.0</v>
      </c>
      <c r="H115" s="21">
        <v>3996.0</v>
      </c>
      <c r="I115" s="21">
        <v>4527.0</v>
      </c>
    </row>
    <row r="116" ht="15.75" customHeight="1">
      <c r="A116" s="4" t="s">
        <v>116</v>
      </c>
      <c r="B116" s="2">
        <f>277+95</f>
        <v>372</v>
      </c>
      <c r="C116" s="2">
        <f>271+86</f>
        <v>357</v>
      </c>
      <c r="D116" s="2">
        <v>383.0</v>
      </c>
      <c r="E116" s="2">
        <v>427.0</v>
      </c>
      <c r="F116" s="2">
        <v>432.0</v>
      </c>
      <c r="G116" s="2">
        <v>402.0</v>
      </c>
      <c r="H116" s="2">
        <v>490.0</v>
      </c>
      <c r="I116" s="2">
        <v>564.0</v>
      </c>
    </row>
    <row r="117" ht="15.75" customHeight="1">
      <c r="A117" s="4" t="s">
        <v>118</v>
      </c>
      <c r="B117" s="9">
        <f t="shared" ref="B117:I117" si="22">+SUM(B118:B120)</f>
        <v>3067</v>
      </c>
      <c r="C117" s="9">
        <f t="shared" si="22"/>
        <v>3785</v>
      </c>
      <c r="D117" s="9">
        <f t="shared" si="22"/>
        <v>4237</v>
      </c>
      <c r="E117" s="9">
        <f t="shared" si="22"/>
        <v>5134</v>
      </c>
      <c r="F117" s="9">
        <f t="shared" si="22"/>
        <v>6208</v>
      </c>
      <c r="G117" s="9">
        <f t="shared" si="22"/>
        <v>6679</v>
      </c>
      <c r="H117" s="9">
        <f t="shared" si="22"/>
        <v>8290</v>
      </c>
      <c r="I117" s="9">
        <f t="shared" si="22"/>
        <v>7547</v>
      </c>
    </row>
    <row r="118" ht="15.75" customHeight="1">
      <c r="A118" s="4" t="s">
        <v>114</v>
      </c>
      <c r="B118" s="2">
        <v>2016.0</v>
      </c>
      <c r="C118" s="2">
        <v>2599.0</v>
      </c>
      <c r="D118" s="2">
        <v>2920.0</v>
      </c>
      <c r="E118" s="2">
        <v>3496.0</v>
      </c>
      <c r="F118" s="2">
        <v>4262.0</v>
      </c>
      <c r="G118" s="2">
        <v>4635.0</v>
      </c>
      <c r="H118" s="21">
        <v>5748.0</v>
      </c>
      <c r="I118" s="21">
        <v>5416.0</v>
      </c>
    </row>
    <row r="119" ht="15.75" customHeight="1">
      <c r="A119" s="4" t="s">
        <v>115</v>
      </c>
      <c r="B119" s="2">
        <v>925.0</v>
      </c>
      <c r="C119" s="2">
        <v>1055.0</v>
      </c>
      <c r="D119" s="2">
        <v>1188.0</v>
      </c>
      <c r="E119" s="2">
        <v>1508.0</v>
      </c>
      <c r="F119" s="2">
        <v>1808.0</v>
      </c>
      <c r="G119" s="2">
        <v>1896.0</v>
      </c>
      <c r="H119" s="21">
        <v>2347.0</v>
      </c>
      <c r="I119" s="21">
        <v>1938.0</v>
      </c>
    </row>
    <row r="120" ht="15.75" customHeight="1">
      <c r="A120" s="4" t="s">
        <v>116</v>
      </c>
      <c r="B120" s="2">
        <v>126.0</v>
      </c>
      <c r="C120" s="2">
        <v>131.0</v>
      </c>
      <c r="D120" s="2">
        <v>129.0</v>
      </c>
      <c r="E120" s="2">
        <v>130.0</v>
      </c>
      <c r="F120" s="2">
        <v>138.0</v>
      </c>
      <c r="G120" s="2">
        <v>148.0</v>
      </c>
      <c r="H120" s="2">
        <v>195.0</v>
      </c>
      <c r="I120" s="2">
        <v>193.0</v>
      </c>
    </row>
    <row r="121" ht="15.75" customHeight="1">
      <c r="A121" s="4" t="s">
        <v>119</v>
      </c>
      <c r="B121" s="9">
        <f t="shared" ref="B121:I121" si="23">+SUM(B122:B124)</f>
        <v>4653</v>
      </c>
      <c r="C121" s="9">
        <f t="shared" si="23"/>
        <v>4570</v>
      </c>
      <c r="D121" s="9">
        <f t="shared" si="23"/>
        <v>4737</v>
      </c>
      <c r="E121" s="9">
        <f t="shared" si="23"/>
        <v>5166</v>
      </c>
      <c r="F121" s="9">
        <f t="shared" si="23"/>
        <v>5254</v>
      </c>
      <c r="G121" s="9">
        <f t="shared" si="23"/>
        <v>5028</v>
      </c>
      <c r="H121" s="9">
        <f t="shared" si="23"/>
        <v>5343</v>
      </c>
      <c r="I121" s="9">
        <f t="shared" si="23"/>
        <v>5955</v>
      </c>
    </row>
    <row r="122" ht="15.75" customHeight="1">
      <c r="A122" s="4" t="s">
        <v>114</v>
      </c>
      <c r="B122" s="29">
        <v>3093.0</v>
      </c>
      <c r="C122" s="29">
        <v>3106.0</v>
      </c>
      <c r="D122" s="29">
        <v>3285.0</v>
      </c>
      <c r="E122" s="29">
        <v>3575.0</v>
      </c>
      <c r="F122" s="29">
        <v>3622.0</v>
      </c>
      <c r="G122" s="29">
        <v>3449.0</v>
      </c>
      <c r="H122" s="30">
        <v>3659.0</v>
      </c>
      <c r="I122" s="30">
        <v>4111.0</v>
      </c>
    </row>
    <row r="123" ht="15.75" customHeight="1">
      <c r="A123" s="4" t="s">
        <v>115</v>
      </c>
      <c r="B123" s="29">
        <v>1251.0</v>
      </c>
      <c r="C123" s="29">
        <v>1175.0</v>
      </c>
      <c r="D123" s="29">
        <v>1185.0</v>
      </c>
      <c r="E123" s="29">
        <v>1347.0</v>
      </c>
      <c r="F123" s="29">
        <v>1395.0</v>
      </c>
      <c r="G123" s="29">
        <v>1365.0</v>
      </c>
      <c r="H123" s="30">
        <v>1494.0</v>
      </c>
      <c r="I123" s="30">
        <v>1610.0</v>
      </c>
    </row>
    <row r="124" ht="15.75" customHeight="1">
      <c r="A124" s="4" t="s">
        <v>116</v>
      </c>
      <c r="B124" s="29">
        <v>309.0</v>
      </c>
      <c r="C124" s="29">
        <v>289.0</v>
      </c>
      <c r="D124" s="29">
        <v>267.0</v>
      </c>
      <c r="E124" s="29">
        <v>244.0</v>
      </c>
      <c r="F124" s="29">
        <v>237.0</v>
      </c>
      <c r="G124" s="29">
        <v>214.0</v>
      </c>
      <c r="H124" s="29">
        <v>190.0</v>
      </c>
      <c r="I124" s="29">
        <v>234.0</v>
      </c>
    </row>
    <row r="125" ht="15.75" customHeight="1">
      <c r="A125" s="4" t="s">
        <v>120</v>
      </c>
      <c r="B125" s="9">
        <v>115.0</v>
      </c>
      <c r="C125" s="9">
        <v>73.0</v>
      </c>
      <c r="D125" s="9">
        <v>73.0</v>
      </c>
      <c r="E125" s="9">
        <v>88.0</v>
      </c>
      <c r="F125" s="9">
        <v>42.0</v>
      </c>
      <c r="G125" s="9">
        <v>30.0</v>
      </c>
      <c r="H125" s="9">
        <v>25.0</v>
      </c>
      <c r="I125" s="9">
        <v>102.0</v>
      </c>
    </row>
    <row r="126" ht="15.75" customHeight="1">
      <c r="A126" s="16" t="s">
        <v>121</v>
      </c>
      <c r="B126" s="17">
        <f t="shared" ref="B126:I126" si="24">+B109+B113+B117+B121+B125</f>
        <v>28701</v>
      </c>
      <c r="C126" s="17">
        <f t="shared" si="24"/>
        <v>30507</v>
      </c>
      <c r="D126" s="17">
        <f t="shared" si="24"/>
        <v>32233</v>
      </c>
      <c r="E126" s="17">
        <f t="shared" si="24"/>
        <v>34485</v>
      </c>
      <c r="F126" s="17">
        <f t="shared" si="24"/>
        <v>37218</v>
      </c>
      <c r="G126" s="17">
        <f t="shared" si="24"/>
        <v>35568</v>
      </c>
      <c r="H126" s="17">
        <f t="shared" si="24"/>
        <v>42293</v>
      </c>
      <c r="I126" s="17">
        <f t="shared" si="24"/>
        <v>44436</v>
      </c>
    </row>
    <row r="127" ht="15.75" customHeight="1">
      <c r="A127" s="4" t="s">
        <v>122</v>
      </c>
      <c r="B127" s="15">
        <v>1982.0</v>
      </c>
      <c r="C127" s="15">
        <v>1955.0</v>
      </c>
      <c r="D127" s="15">
        <v>2042.0</v>
      </c>
      <c r="E127" s="15">
        <v>1886.0</v>
      </c>
      <c r="F127" s="15">
        <v>1906.0</v>
      </c>
      <c r="G127" s="15">
        <v>1846.0</v>
      </c>
      <c r="H127" s="15">
        <v>2205.0</v>
      </c>
      <c r="I127" s="15">
        <v>2346.0</v>
      </c>
    </row>
    <row r="128" ht="15.75" customHeight="1">
      <c r="A128" s="4" t="s">
        <v>114</v>
      </c>
      <c r="B128" s="9">
        <v>18318.0</v>
      </c>
      <c r="C128" s="9">
        <v>19871.0</v>
      </c>
      <c r="D128" s="9">
        <v>21081.0</v>
      </c>
      <c r="E128" s="9">
        <v>22268.0</v>
      </c>
      <c r="F128" s="29">
        <v>1658.0</v>
      </c>
      <c r="G128" s="29">
        <v>1642.0</v>
      </c>
      <c r="H128" s="15">
        <v>1986.0</v>
      </c>
      <c r="I128" s="15">
        <v>2094.0</v>
      </c>
    </row>
    <row r="129" ht="15.75" customHeight="1">
      <c r="A129" s="4" t="s">
        <v>115</v>
      </c>
      <c r="B129" s="9">
        <v>8637.0</v>
      </c>
      <c r="C129" s="9">
        <v>9067.0</v>
      </c>
      <c r="D129" s="9">
        <v>9654.0</v>
      </c>
      <c r="E129" s="9">
        <v>10733.0</v>
      </c>
      <c r="F129" s="15">
        <v>118.0</v>
      </c>
      <c r="G129" s="15">
        <v>89.0</v>
      </c>
      <c r="H129" s="15">
        <v>104.0</v>
      </c>
      <c r="I129" s="15">
        <v>103.0</v>
      </c>
    </row>
    <row r="130" ht="15.75" customHeight="1">
      <c r="A130" s="4" t="s">
        <v>116</v>
      </c>
      <c r="B130" s="9">
        <v>1631.0</v>
      </c>
      <c r="C130" s="9">
        <v>1496.0</v>
      </c>
      <c r="D130" s="9">
        <v>1425.0</v>
      </c>
      <c r="E130" s="9">
        <v>1396.0</v>
      </c>
      <c r="F130" s="15">
        <v>24.0</v>
      </c>
      <c r="G130" s="15">
        <v>25.0</v>
      </c>
      <c r="H130" s="15">
        <v>29.0</v>
      </c>
      <c r="I130" s="15">
        <v>26.0</v>
      </c>
    </row>
    <row r="131" ht="15.75" customHeight="1">
      <c r="A131" s="4" t="s">
        <v>123</v>
      </c>
      <c r="B131" s="9">
        <v>115.0</v>
      </c>
      <c r="C131" s="9">
        <v>73.0</v>
      </c>
      <c r="D131" s="9">
        <v>73.0</v>
      </c>
      <c r="E131" s="9">
        <v>88.0</v>
      </c>
      <c r="F131" s="15">
        <v>106.0</v>
      </c>
      <c r="G131" s="15">
        <v>90.0</v>
      </c>
      <c r="H131" s="15">
        <v>86.0</v>
      </c>
      <c r="I131" s="15">
        <v>123.0</v>
      </c>
    </row>
    <row r="132" ht="15.75" customHeight="1">
      <c r="A132" s="4" t="s">
        <v>124</v>
      </c>
      <c r="B132" s="15">
        <v>-82.0</v>
      </c>
      <c r="C132" s="15">
        <v>-86.0</v>
      </c>
      <c r="D132" s="15">
        <v>75.0</v>
      </c>
      <c r="E132" s="15">
        <v>26.0</v>
      </c>
      <c r="F132" s="15">
        <v>-7.0</v>
      </c>
      <c r="G132" s="15">
        <v>-11.0</v>
      </c>
      <c r="H132" s="15">
        <v>40.0</v>
      </c>
      <c r="I132" s="15">
        <v>-72.0</v>
      </c>
    </row>
    <row r="133" ht="15.75" customHeight="1">
      <c r="A133" s="18" t="s">
        <v>125</v>
      </c>
      <c r="B133" s="19">
        <f t="shared" ref="B133:I133" si="25">+B126+B127+B132</f>
        <v>30601</v>
      </c>
      <c r="C133" s="19">
        <f t="shared" si="25"/>
        <v>32376</v>
      </c>
      <c r="D133" s="19">
        <f t="shared" si="25"/>
        <v>34350</v>
      </c>
      <c r="E133" s="19">
        <f t="shared" si="25"/>
        <v>36397</v>
      </c>
      <c r="F133" s="19">
        <f t="shared" si="25"/>
        <v>39117</v>
      </c>
      <c r="G133" s="19">
        <f t="shared" si="25"/>
        <v>37403</v>
      </c>
      <c r="H133" s="19">
        <f t="shared" si="25"/>
        <v>44538</v>
      </c>
      <c r="I133" s="19">
        <f t="shared" si="25"/>
        <v>46710</v>
      </c>
    </row>
    <row r="134" ht="15.75" customHeight="1">
      <c r="A134" s="22" t="s">
        <v>126</v>
      </c>
      <c r="B134" s="23">
        <f>+I133-I2</f>
        <v>0</v>
      </c>
      <c r="C134" s="23">
        <f t="shared" ref="C134:I134" si="26">+C133-C2</f>
        <v>0</v>
      </c>
      <c r="D134" s="23">
        <f t="shared" si="26"/>
        <v>0</v>
      </c>
      <c r="E134" s="23">
        <f t="shared" si="26"/>
        <v>0</v>
      </c>
      <c r="F134" s="23">
        <f t="shared" si="26"/>
        <v>0</v>
      </c>
      <c r="G134" s="23">
        <f t="shared" si="26"/>
        <v>0</v>
      </c>
      <c r="H134" s="23">
        <f t="shared" si="26"/>
        <v>0</v>
      </c>
      <c r="I134" s="23">
        <f t="shared" si="26"/>
        <v>0</v>
      </c>
      <c r="J134" s="22"/>
      <c r="K134" s="22"/>
      <c r="L134" s="22"/>
      <c r="M134" s="22"/>
      <c r="N134" s="22"/>
      <c r="O134" s="22"/>
      <c r="P134" s="22"/>
      <c r="Q134" s="22"/>
      <c r="R134" s="22"/>
      <c r="S134" s="22"/>
      <c r="T134" s="22"/>
      <c r="U134" s="22"/>
      <c r="V134" s="22"/>
      <c r="W134" s="22"/>
      <c r="X134" s="22"/>
      <c r="Y134" s="22"/>
      <c r="Z134" s="22"/>
    </row>
    <row r="135" ht="15.75" customHeight="1">
      <c r="A135" s="3" t="s">
        <v>127</v>
      </c>
    </row>
    <row r="136" ht="15.75" customHeight="1">
      <c r="A136" s="4" t="s">
        <v>113</v>
      </c>
      <c r="B136" s="9">
        <v>3645.0</v>
      </c>
      <c r="C136" s="9">
        <v>3763.0</v>
      </c>
      <c r="D136" s="9">
        <v>3875.0</v>
      </c>
      <c r="E136" s="9">
        <v>3600.0</v>
      </c>
      <c r="F136" s="9">
        <v>3925.0</v>
      </c>
      <c r="G136" s="9">
        <v>2899.0</v>
      </c>
      <c r="H136" s="9">
        <v>5089.0</v>
      </c>
      <c r="I136" s="9">
        <v>5114.0</v>
      </c>
    </row>
    <row r="137" ht="15.75" customHeight="1">
      <c r="A137" s="4" t="s">
        <v>117</v>
      </c>
      <c r="B137" s="9">
        <v>1524.0</v>
      </c>
      <c r="C137" s="9">
        <v>1787.0</v>
      </c>
      <c r="D137" s="9">
        <v>1507.0</v>
      </c>
      <c r="E137" s="9">
        <v>1587.0</v>
      </c>
      <c r="F137" s="9">
        <v>1995.0</v>
      </c>
      <c r="G137" s="9">
        <v>1541.0</v>
      </c>
      <c r="H137" s="9">
        <v>2435.0</v>
      </c>
      <c r="I137" s="9">
        <v>3293.0</v>
      </c>
    </row>
    <row r="138" ht="15.75" customHeight="1">
      <c r="A138" s="4" t="s">
        <v>118</v>
      </c>
      <c r="B138" s="9">
        <v>993.0</v>
      </c>
      <c r="C138" s="9">
        <v>1372.0</v>
      </c>
      <c r="D138" s="9">
        <v>1507.0</v>
      </c>
      <c r="E138" s="9">
        <v>1807.0</v>
      </c>
      <c r="F138" s="9">
        <v>2376.0</v>
      </c>
      <c r="G138" s="9">
        <v>2490.0</v>
      </c>
      <c r="H138" s="9">
        <v>3243.0</v>
      </c>
      <c r="I138" s="9">
        <v>2365.0</v>
      </c>
    </row>
    <row r="139" ht="15.75" customHeight="1">
      <c r="A139" s="4" t="s">
        <v>119</v>
      </c>
      <c r="B139" s="9">
        <v>918.0</v>
      </c>
      <c r="C139" s="9">
        <v>1002.0</v>
      </c>
      <c r="D139" s="9">
        <v>980.0</v>
      </c>
      <c r="E139" s="9">
        <v>1189.0</v>
      </c>
      <c r="F139" s="9">
        <v>1323.0</v>
      </c>
      <c r="G139" s="9">
        <v>1184.0</v>
      </c>
      <c r="H139" s="9">
        <v>1530.0</v>
      </c>
      <c r="I139" s="9">
        <v>1896.0</v>
      </c>
    </row>
    <row r="140" ht="15.75" customHeight="1">
      <c r="A140" s="4" t="s">
        <v>120</v>
      </c>
      <c r="B140" s="9">
        <v>-2263.0</v>
      </c>
      <c r="C140" s="9">
        <v>-2596.0</v>
      </c>
      <c r="D140" s="9">
        <v>-2677.0</v>
      </c>
      <c r="E140" s="9">
        <v>-2658.0</v>
      </c>
      <c r="F140" s="9">
        <v>-3262.0</v>
      </c>
      <c r="G140" s="9">
        <v>-3468.0</v>
      </c>
      <c r="H140" s="9">
        <v>-3656.0</v>
      </c>
      <c r="I140" s="9">
        <v>-4262.0</v>
      </c>
    </row>
    <row r="141" ht="15.75" customHeight="1">
      <c r="A141" s="16" t="s">
        <v>121</v>
      </c>
      <c r="B141" s="17">
        <f t="shared" ref="B141:I141" si="27">+SUM(B136:B140)</f>
        <v>4817</v>
      </c>
      <c r="C141" s="17">
        <f t="shared" si="27"/>
        <v>5328</v>
      </c>
      <c r="D141" s="17">
        <f t="shared" si="27"/>
        <v>5192</v>
      </c>
      <c r="E141" s="17">
        <f t="shared" si="27"/>
        <v>5525</v>
      </c>
      <c r="F141" s="17">
        <f t="shared" si="27"/>
        <v>6357</v>
      </c>
      <c r="G141" s="17">
        <f t="shared" si="27"/>
        <v>4646</v>
      </c>
      <c r="H141" s="17">
        <f t="shared" si="27"/>
        <v>8641</v>
      </c>
      <c r="I141" s="17">
        <f t="shared" si="27"/>
        <v>8406</v>
      </c>
    </row>
    <row r="142" ht="15.75" customHeight="1">
      <c r="A142" s="4" t="s">
        <v>122</v>
      </c>
      <c r="B142" s="15">
        <v>517.0</v>
      </c>
      <c r="C142" s="15">
        <v>487.0</v>
      </c>
      <c r="D142" s="15">
        <v>477.0</v>
      </c>
      <c r="E142" s="15">
        <v>310.0</v>
      </c>
      <c r="F142" s="15">
        <v>303.0</v>
      </c>
      <c r="G142" s="15">
        <v>297.0</v>
      </c>
      <c r="H142" s="15">
        <v>543.0</v>
      </c>
      <c r="I142" s="15">
        <v>669.0</v>
      </c>
    </row>
    <row r="143" ht="15.75" customHeight="1">
      <c r="A143" s="4" t="s">
        <v>124</v>
      </c>
      <c r="B143" s="15">
        <v>-1101.0</v>
      </c>
      <c r="C143" s="15">
        <v>-1173.0</v>
      </c>
      <c r="D143" s="15">
        <v>-724.0</v>
      </c>
      <c r="E143" s="15">
        <v>-1456.0</v>
      </c>
      <c r="F143" s="15">
        <v>-1810.0</v>
      </c>
      <c r="G143" s="15">
        <v>-1967.0</v>
      </c>
      <c r="H143" s="15">
        <v>-2261.0</v>
      </c>
      <c r="I143" s="15">
        <v>-2219.0</v>
      </c>
    </row>
    <row r="144" ht="15.75" customHeight="1">
      <c r="A144" s="18" t="s">
        <v>128</v>
      </c>
      <c r="B144" s="19">
        <f t="shared" ref="B144:I144" si="28">+SUM(B141:B143)</f>
        <v>4233</v>
      </c>
      <c r="C144" s="19">
        <f t="shared" si="28"/>
        <v>4642</v>
      </c>
      <c r="D144" s="19">
        <f t="shared" si="28"/>
        <v>4945</v>
      </c>
      <c r="E144" s="19">
        <f t="shared" si="28"/>
        <v>4379</v>
      </c>
      <c r="F144" s="19">
        <f t="shared" si="28"/>
        <v>4850</v>
      </c>
      <c r="G144" s="19">
        <f t="shared" si="28"/>
        <v>2976</v>
      </c>
      <c r="H144" s="19">
        <f t="shared" si="28"/>
        <v>6923</v>
      </c>
      <c r="I144" s="19">
        <f t="shared" si="28"/>
        <v>6856</v>
      </c>
    </row>
    <row r="145" ht="15.75" customHeight="1">
      <c r="A145" s="22" t="s">
        <v>126</v>
      </c>
      <c r="B145" s="23">
        <f t="shared" ref="B145:I145" si="29">+B144-B10-B8</f>
        <v>0</v>
      </c>
      <c r="C145" s="23">
        <f t="shared" si="29"/>
        <v>0</v>
      </c>
      <c r="D145" s="23">
        <f t="shared" si="29"/>
        <v>0</v>
      </c>
      <c r="E145" s="23">
        <f t="shared" si="29"/>
        <v>0</v>
      </c>
      <c r="F145" s="23">
        <f t="shared" si="29"/>
        <v>0</v>
      </c>
      <c r="G145" s="23">
        <f t="shared" si="29"/>
        <v>0</v>
      </c>
      <c r="H145" s="23">
        <f t="shared" si="29"/>
        <v>0</v>
      </c>
      <c r="I145" s="23">
        <f t="shared" si="29"/>
        <v>0</v>
      </c>
      <c r="J145" s="22"/>
      <c r="K145" s="22"/>
      <c r="L145" s="22"/>
      <c r="M145" s="22"/>
      <c r="N145" s="22"/>
      <c r="O145" s="22"/>
      <c r="P145" s="22"/>
      <c r="Q145" s="22"/>
      <c r="R145" s="22"/>
      <c r="S145" s="22"/>
      <c r="T145" s="22"/>
      <c r="U145" s="22"/>
      <c r="V145" s="22"/>
      <c r="W145" s="22"/>
      <c r="X145" s="22"/>
      <c r="Y145" s="22"/>
      <c r="Z145" s="22"/>
    </row>
    <row r="146" ht="15.75" customHeight="1">
      <c r="A146" s="3" t="s">
        <v>129</v>
      </c>
    </row>
    <row r="147" ht="15.75" customHeight="1">
      <c r="A147" s="4" t="s">
        <v>113</v>
      </c>
      <c r="B147" s="15">
        <v>632.0</v>
      </c>
      <c r="C147" s="15">
        <v>742.0</v>
      </c>
      <c r="D147" s="15">
        <v>819.0</v>
      </c>
      <c r="E147" s="15">
        <v>848.0</v>
      </c>
      <c r="F147" s="15">
        <v>814.0</v>
      </c>
      <c r="G147" s="15">
        <v>645.0</v>
      </c>
      <c r="H147" s="15">
        <v>617.0</v>
      </c>
      <c r="I147" s="15">
        <v>639.0</v>
      </c>
    </row>
    <row r="148" ht="15.75" customHeight="1">
      <c r="A148" s="4" t="s">
        <v>117</v>
      </c>
      <c r="B148" s="15">
        <v>498.0</v>
      </c>
      <c r="C148" s="15">
        <v>639.0</v>
      </c>
      <c r="D148" s="15">
        <v>706.0</v>
      </c>
      <c r="E148" s="15">
        <v>849.0</v>
      </c>
      <c r="F148" s="15">
        <v>929.0</v>
      </c>
      <c r="G148" s="15">
        <v>885.0</v>
      </c>
      <c r="H148" s="15">
        <v>982.0</v>
      </c>
      <c r="I148" s="15">
        <v>920.0</v>
      </c>
    </row>
    <row r="149" ht="15.75" customHeight="1">
      <c r="A149" s="4" t="s">
        <v>118</v>
      </c>
      <c r="B149" s="15">
        <v>254.0</v>
      </c>
      <c r="C149" s="15">
        <v>234.0</v>
      </c>
      <c r="D149" s="15">
        <v>225.0</v>
      </c>
      <c r="E149" s="15">
        <v>256.0</v>
      </c>
      <c r="F149" s="15">
        <v>237.0</v>
      </c>
      <c r="G149" s="15">
        <v>214.0</v>
      </c>
      <c r="H149" s="15">
        <v>288.0</v>
      </c>
      <c r="I149" s="15">
        <v>303.0</v>
      </c>
    </row>
    <row r="150" ht="15.75" customHeight="1">
      <c r="A150" s="4" t="s">
        <v>130</v>
      </c>
      <c r="B150" s="15">
        <v>308.0</v>
      </c>
      <c r="C150" s="15">
        <v>332.0</v>
      </c>
      <c r="D150" s="15">
        <v>343.0</v>
      </c>
      <c r="E150" s="15">
        <v>339.0</v>
      </c>
      <c r="F150" s="15">
        <v>326.0</v>
      </c>
      <c r="G150" s="15">
        <v>296.0</v>
      </c>
      <c r="H150" s="15">
        <v>304.0</v>
      </c>
      <c r="I150" s="15">
        <v>274.0</v>
      </c>
    </row>
    <row r="151" ht="15.75" customHeight="1">
      <c r="A151" s="4" t="s">
        <v>120</v>
      </c>
      <c r="B151" s="15">
        <v>484.0</v>
      </c>
      <c r="C151" s="15">
        <v>511.0</v>
      </c>
      <c r="D151" s="15">
        <v>533.0</v>
      </c>
      <c r="E151" s="15">
        <v>597.0</v>
      </c>
      <c r="F151" s="15">
        <v>665.0</v>
      </c>
      <c r="G151" s="15">
        <v>830.0</v>
      </c>
      <c r="H151" s="15">
        <v>780.0</v>
      </c>
      <c r="I151" s="15">
        <v>789.0</v>
      </c>
    </row>
    <row r="152" ht="15.75" customHeight="1">
      <c r="A152" s="16" t="s">
        <v>131</v>
      </c>
      <c r="B152" s="17">
        <f t="shared" ref="B152:I152" si="30">+SUM(B147:B151)</f>
        <v>2176</v>
      </c>
      <c r="C152" s="17">
        <f t="shared" si="30"/>
        <v>2458</v>
      </c>
      <c r="D152" s="17">
        <f t="shared" si="30"/>
        <v>2626</v>
      </c>
      <c r="E152" s="17">
        <f t="shared" si="30"/>
        <v>2889</v>
      </c>
      <c r="F152" s="17">
        <f t="shared" si="30"/>
        <v>2971</v>
      </c>
      <c r="G152" s="17">
        <f t="shared" si="30"/>
        <v>2870</v>
      </c>
      <c r="H152" s="17">
        <f t="shared" si="30"/>
        <v>2971</v>
      </c>
      <c r="I152" s="17">
        <f t="shared" si="30"/>
        <v>2925</v>
      </c>
    </row>
    <row r="153" ht="15.75" customHeight="1">
      <c r="A153" s="4" t="s">
        <v>122</v>
      </c>
      <c r="B153" s="15">
        <v>122.0</v>
      </c>
      <c r="C153" s="15">
        <v>125.0</v>
      </c>
      <c r="D153" s="15">
        <v>125.0</v>
      </c>
      <c r="E153" s="15">
        <v>115.0</v>
      </c>
      <c r="F153" s="15">
        <v>100.0</v>
      </c>
      <c r="G153" s="15">
        <v>80.0</v>
      </c>
      <c r="H153" s="15">
        <v>63.0</v>
      </c>
      <c r="I153" s="15">
        <v>49.0</v>
      </c>
    </row>
    <row r="154" ht="15.75" customHeight="1">
      <c r="A154" s="4" t="s">
        <v>124</v>
      </c>
      <c r="B154" s="15">
        <v>713.0</v>
      </c>
      <c r="C154" s="15">
        <v>937.0</v>
      </c>
      <c r="D154" s="15">
        <v>1238.0</v>
      </c>
      <c r="E154" s="15">
        <v>1450.0</v>
      </c>
      <c r="F154" s="15">
        <v>1673.0</v>
      </c>
      <c r="G154" s="15">
        <v>1916.0</v>
      </c>
      <c r="H154" s="15">
        <v>1870.0</v>
      </c>
      <c r="I154" s="15">
        <v>1817.0</v>
      </c>
    </row>
    <row r="155" ht="15.75" customHeight="1">
      <c r="A155" s="18" t="s">
        <v>132</v>
      </c>
      <c r="B155" s="19">
        <f t="shared" ref="B155:I155" si="31">+SUM(B152:B154)</f>
        <v>3011</v>
      </c>
      <c r="C155" s="19">
        <f t="shared" si="31"/>
        <v>3520</v>
      </c>
      <c r="D155" s="19">
        <f t="shared" si="31"/>
        <v>3989</v>
      </c>
      <c r="E155" s="19">
        <f t="shared" si="31"/>
        <v>4454</v>
      </c>
      <c r="F155" s="19">
        <f t="shared" si="31"/>
        <v>4744</v>
      </c>
      <c r="G155" s="19">
        <f t="shared" si="31"/>
        <v>4866</v>
      </c>
      <c r="H155" s="19">
        <f t="shared" si="31"/>
        <v>4904</v>
      </c>
      <c r="I155" s="19">
        <f t="shared" si="31"/>
        <v>4791</v>
      </c>
    </row>
    <row r="156" ht="15.75" customHeight="1">
      <c r="A156" s="22" t="s">
        <v>126</v>
      </c>
      <c r="B156" s="23">
        <f t="shared" ref="B156:I156" si="32">+B155-B31</f>
        <v>0</v>
      </c>
      <c r="C156" s="23">
        <f t="shared" si="32"/>
        <v>0</v>
      </c>
      <c r="D156" s="23">
        <f t="shared" si="32"/>
        <v>0</v>
      </c>
      <c r="E156" s="23">
        <f t="shared" si="32"/>
        <v>0</v>
      </c>
      <c r="F156" s="23">
        <f t="shared" si="32"/>
        <v>0</v>
      </c>
      <c r="G156" s="23">
        <f t="shared" si="32"/>
        <v>0</v>
      </c>
      <c r="H156" s="23">
        <f t="shared" si="32"/>
        <v>0</v>
      </c>
      <c r="I156" s="23">
        <f t="shared" si="32"/>
        <v>0</v>
      </c>
    </row>
    <row r="157" ht="15.75" customHeight="1">
      <c r="A157" s="3" t="s">
        <v>133</v>
      </c>
    </row>
    <row r="158" ht="15.75" customHeight="1">
      <c r="A158" s="4" t="s">
        <v>113</v>
      </c>
      <c r="B158" s="15">
        <v>208.0</v>
      </c>
      <c r="C158" s="15">
        <v>242.0</v>
      </c>
      <c r="D158" s="15">
        <v>223.0</v>
      </c>
      <c r="E158" s="15">
        <v>196.0</v>
      </c>
      <c r="F158" s="15">
        <v>117.0</v>
      </c>
      <c r="G158" s="15">
        <v>110.0</v>
      </c>
      <c r="H158" s="15">
        <v>98.0</v>
      </c>
      <c r="I158" s="15">
        <v>146.0</v>
      </c>
    </row>
    <row r="159" ht="15.75" customHeight="1">
      <c r="A159" s="4" t="s">
        <v>117</v>
      </c>
      <c r="B159" s="15">
        <v>236.0</v>
      </c>
      <c r="C159" s="15">
        <v>232.0</v>
      </c>
      <c r="D159" s="15">
        <v>172.0</v>
      </c>
      <c r="E159" s="15">
        <v>240.0</v>
      </c>
      <c r="F159" s="15">
        <v>233.0</v>
      </c>
      <c r="G159" s="15">
        <v>139.0</v>
      </c>
      <c r="H159" s="15">
        <v>153.0</v>
      </c>
      <c r="I159" s="15">
        <v>197.0</v>
      </c>
    </row>
    <row r="160" ht="15.75" customHeight="1">
      <c r="A160" s="4" t="s">
        <v>118</v>
      </c>
      <c r="B160" s="15">
        <v>69.0</v>
      </c>
      <c r="C160" s="15">
        <v>44.0</v>
      </c>
      <c r="D160" s="15">
        <v>51.0</v>
      </c>
      <c r="E160" s="15">
        <v>76.0</v>
      </c>
      <c r="F160" s="15">
        <v>49.0</v>
      </c>
      <c r="G160" s="15">
        <v>28.0</v>
      </c>
      <c r="H160" s="15">
        <v>94.0</v>
      </c>
      <c r="I160" s="15">
        <v>78.0</v>
      </c>
    </row>
    <row r="161" ht="15.75" customHeight="1">
      <c r="A161" s="4" t="s">
        <v>130</v>
      </c>
      <c r="B161" s="15">
        <v>52.0</v>
      </c>
      <c r="C161" s="15">
        <v>64.0</v>
      </c>
      <c r="D161" s="15">
        <v>60.0</v>
      </c>
      <c r="E161" s="15">
        <v>49.0</v>
      </c>
      <c r="F161" s="15">
        <v>47.0</v>
      </c>
      <c r="G161" s="15">
        <v>41.0</v>
      </c>
      <c r="H161" s="15">
        <v>54.0</v>
      </c>
      <c r="I161" s="15">
        <v>56.0</v>
      </c>
    </row>
    <row r="162" ht="15.75" customHeight="1">
      <c r="A162" s="4" t="s">
        <v>120</v>
      </c>
      <c r="B162" s="15">
        <v>225.0</v>
      </c>
      <c r="C162" s="15">
        <v>258.0</v>
      </c>
      <c r="D162" s="15">
        <v>278.0</v>
      </c>
      <c r="E162" s="15">
        <v>286.0</v>
      </c>
      <c r="F162" s="15">
        <v>278.0</v>
      </c>
      <c r="G162" s="15">
        <v>438.0</v>
      </c>
      <c r="H162" s="15">
        <v>278.0</v>
      </c>
      <c r="I162" s="15">
        <v>222.0</v>
      </c>
    </row>
    <row r="163" ht="15.75" customHeight="1">
      <c r="A163" s="16" t="s">
        <v>131</v>
      </c>
      <c r="B163" s="17">
        <f t="shared" ref="B163:I163" si="33">+SUM(B158:B162)</f>
        <v>790</v>
      </c>
      <c r="C163" s="17">
        <f t="shared" si="33"/>
        <v>840</v>
      </c>
      <c r="D163" s="17">
        <f t="shared" si="33"/>
        <v>784</v>
      </c>
      <c r="E163" s="17">
        <f t="shared" si="33"/>
        <v>847</v>
      </c>
      <c r="F163" s="17">
        <f t="shared" si="33"/>
        <v>724</v>
      </c>
      <c r="G163" s="17">
        <f t="shared" si="33"/>
        <v>756</v>
      </c>
      <c r="H163" s="17">
        <f t="shared" si="33"/>
        <v>677</v>
      </c>
      <c r="I163" s="17">
        <f t="shared" si="33"/>
        <v>699</v>
      </c>
    </row>
    <row r="164" ht="15.75" customHeight="1">
      <c r="A164" s="4" t="s">
        <v>122</v>
      </c>
      <c r="B164" s="15">
        <v>69.0</v>
      </c>
      <c r="C164" s="15">
        <v>39.0</v>
      </c>
      <c r="D164" s="15">
        <v>30.0</v>
      </c>
      <c r="E164" s="15">
        <v>22.0</v>
      </c>
      <c r="F164" s="15">
        <v>18.0</v>
      </c>
      <c r="G164" s="15">
        <v>12.0</v>
      </c>
      <c r="H164" s="9">
        <v>7.0</v>
      </c>
      <c r="I164" s="9">
        <v>9.0</v>
      </c>
    </row>
    <row r="165" ht="15.75" customHeight="1">
      <c r="A165" s="4" t="s">
        <v>124</v>
      </c>
      <c r="B165" s="9">
        <f t="shared" ref="B165:I165" si="34">-(SUM(B163:B164)+B82)</f>
        <v>104</v>
      </c>
      <c r="C165" s="9">
        <f t="shared" si="34"/>
        <v>264</v>
      </c>
      <c r="D165" s="9">
        <f t="shared" si="34"/>
        <v>291</v>
      </c>
      <c r="E165" s="9">
        <f t="shared" si="34"/>
        <v>159</v>
      </c>
      <c r="F165" s="9">
        <f t="shared" si="34"/>
        <v>377</v>
      </c>
      <c r="G165" s="9">
        <f t="shared" si="34"/>
        <v>318</v>
      </c>
      <c r="H165" s="9">
        <f t="shared" si="34"/>
        <v>11</v>
      </c>
      <c r="I165" s="9">
        <f t="shared" si="34"/>
        <v>50</v>
      </c>
    </row>
    <row r="166" ht="15.75" customHeight="1">
      <c r="A166" s="18" t="s">
        <v>134</v>
      </c>
      <c r="B166" s="19">
        <f t="shared" ref="B166:I166" si="35">+SUM(B163:B165)</f>
        <v>963</v>
      </c>
      <c r="C166" s="19">
        <f t="shared" si="35"/>
        <v>1143</v>
      </c>
      <c r="D166" s="19">
        <f t="shared" si="35"/>
        <v>1105</v>
      </c>
      <c r="E166" s="19">
        <f t="shared" si="35"/>
        <v>1028</v>
      </c>
      <c r="F166" s="19">
        <f t="shared" si="35"/>
        <v>1119</v>
      </c>
      <c r="G166" s="19">
        <f t="shared" si="35"/>
        <v>1086</v>
      </c>
      <c r="H166" s="19">
        <f t="shared" si="35"/>
        <v>695</v>
      </c>
      <c r="I166" s="19">
        <f t="shared" si="35"/>
        <v>758</v>
      </c>
    </row>
    <row r="167" ht="15.75" customHeight="1">
      <c r="A167" s="22" t="s">
        <v>126</v>
      </c>
      <c r="B167" s="23">
        <f t="shared" ref="B167:I167" si="36">+B166+B82</f>
        <v>0</v>
      </c>
      <c r="C167" s="23">
        <f t="shared" si="36"/>
        <v>0</v>
      </c>
      <c r="D167" s="23">
        <f t="shared" si="36"/>
        <v>0</v>
      </c>
      <c r="E167" s="23">
        <f t="shared" si="36"/>
        <v>0</v>
      </c>
      <c r="F167" s="23">
        <f t="shared" si="36"/>
        <v>0</v>
      </c>
      <c r="G167" s="23">
        <f t="shared" si="36"/>
        <v>0</v>
      </c>
      <c r="H167" s="23">
        <f t="shared" si="36"/>
        <v>0</v>
      </c>
      <c r="I167" s="23">
        <f t="shared" si="36"/>
        <v>0</v>
      </c>
    </row>
    <row r="168" ht="15.75" customHeight="1">
      <c r="A168" s="3" t="s">
        <v>135</v>
      </c>
    </row>
    <row r="169" ht="15.75" customHeight="1">
      <c r="A169" s="4" t="s">
        <v>113</v>
      </c>
      <c r="B169" s="9">
        <v>121.0</v>
      </c>
      <c r="C169" s="9">
        <v>133.0</v>
      </c>
      <c r="D169" s="9">
        <v>140.0</v>
      </c>
      <c r="E169" s="9">
        <v>160.0</v>
      </c>
      <c r="F169" s="9">
        <v>149.0</v>
      </c>
      <c r="G169" s="9">
        <v>148.0</v>
      </c>
      <c r="H169" s="9">
        <v>130.0</v>
      </c>
      <c r="I169" s="9">
        <v>124.0</v>
      </c>
    </row>
    <row r="170" ht="15.75" customHeight="1">
      <c r="A170" s="4" t="s">
        <v>117</v>
      </c>
      <c r="B170" s="9">
        <v>87.0</v>
      </c>
      <c r="C170" s="9">
        <v>84.0</v>
      </c>
      <c r="D170" s="9">
        <v>104.0</v>
      </c>
      <c r="E170" s="9">
        <v>116.0</v>
      </c>
      <c r="F170" s="9">
        <v>111.0</v>
      </c>
      <c r="G170" s="9">
        <v>132.0</v>
      </c>
      <c r="H170" s="9">
        <v>136.0</v>
      </c>
      <c r="I170" s="9">
        <v>134.0</v>
      </c>
    </row>
    <row r="171" ht="15.75" customHeight="1">
      <c r="A171" s="4" t="s">
        <v>118</v>
      </c>
      <c r="B171" s="9">
        <v>46.0</v>
      </c>
      <c r="C171" s="9">
        <v>48.0</v>
      </c>
      <c r="D171" s="9">
        <v>54.0</v>
      </c>
      <c r="E171" s="9">
        <v>56.0</v>
      </c>
      <c r="F171" s="9">
        <v>50.0</v>
      </c>
      <c r="G171" s="9">
        <v>44.0</v>
      </c>
      <c r="H171" s="9">
        <v>46.0</v>
      </c>
      <c r="I171" s="9">
        <v>41.0</v>
      </c>
    </row>
    <row r="172" ht="15.75" customHeight="1">
      <c r="A172" s="4" t="s">
        <v>119</v>
      </c>
      <c r="B172" s="9">
        <v>49.0</v>
      </c>
      <c r="C172" s="9">
        <v>43.0</v>
      </c>
      <c r="D172" s="9">
        <v>56.0</v>
      </c>
      <c r="E172" s="9">
        <v>55.0</v>
      </c>
      <c r="F172" s="9">
        <v>53.0</v>
      </c>
      <c r="G172" s="9">
        <v>46.0</v>
      </c>
      <c r="H172" s="9">
        <v>43.0</v>
      </c>
      <c r="I172" s="9">
        <v>42.0</v>
      </c>
    </row>
    <row r="173" ht="15.75" customHeight="1">
      <c r="A173" s="4" t="s">
        <v>120</v>
      </c>
      <c r="B173" s="9">
        <v>210.0</v>
      </c>
      <c r="C173" s="9">
        <v>230.0</v>
      </c>
      <c r="D173" s="9">
        <v>233.0</v>
      </c>
      <c r="E173" s="9">
        <v>217.0</v>
      </c>
      <c r="F173" s="9">
        <v>195.0</v>
      </c>
      <c r="G173" s="9">
        <v>214.0</v>
      </c>
      <c r="H173" s="9">
        <v>222.0</v>
      </c>
      <c r="I173" s="9">
        <v>220.0</v>
      </c>
    </row>
    <row r="174" ht="15.75" customHeight="1">
      <c r="A174" s="16" t="s">
        <v>131</v>
      </c>
      <c r="B174" s="17">
        <f t="shared" ref="B174:I174" si="37">+SUM(B169:B173)</f>
        <v>513</v>
      </c>
      <c r="C174" s="17">
        <f t="shared" si="37"/>
        <v>538</v>
      </c>
      <c r="D174" s="17">
        <f t="shared" si="37"/>
        <v>587</v>
      </c>
      <c r="E174" s="17">
        <f t="shared" si="37"/>
        <v>604</v>
      </c>
      <c r="F174" s="17">
        <f t="shared" si="37"/>
        <v>558</v>
      </c>
      <c r="G174" s="17">
        <f t="shared" si="37"/>
        <v>584</v>
      </c>
      <c r="H174" s="17">
        <f t="shared" si="37"/>
        <v>577</v>
      </c>
      <c r="I174" s="17">
        <f t="shared" si="37"/>
        <v>561</v>
      </c>
    </row>
    <row r="175" ht="15.75" customHeight="1">
      <c r="A175" s="4" t="s">
        <v>122</v>
      </c>
      <c r="B175" s="9">
        <v>18.0</v>
      </c>
      <c r="C175" s="9">
        <v>27.0</v>
      </c>
      <c r="D175" s="9">
        <v>28.0</v>
      </c>
      <c r="E175" s="9">
        <v>33.0</v>
      </c>
      <c r="F175" s="9">
        <v>31.0</v>
      </c>
      <c r="G175" s="9">
        <v>25.0</v>
      </c>
      <c r="H175" s="9">
        <v>26.0</v>
      </c>
      <c r="I175" s="9">
        <v>22.0</v>
      </c>
    </row>
    <row r="176" ht="15.75" customHeight="1">
      <c r="A176" s="4" t="s">
        <v>124</v>
      </c>
      <c r="B176" s="9">
        <v>75.0</v>
      </c>
      <c r="C176" s="9">
        <v>84.0</v>
      </c>
      <c r="D176" s="9">
        <v>91.0</v>
      </c>
      <c r="E176" s="9">
        <v>110.0</v>
      </c>
      <c r="F176" s="9">
        <v>116.0</v>
      </c>
      <c r="G176" s="9">
        <v>112.0</v>
      </c>
      <c r="H176" s="9">
        <v>141.0</v>
      </c>
      <c r="I176" s="9">
        <v>134.0</v>
      </c>
    </row>
    <row r="177" ht="15.75" customHeight="1">
      <c r="A177" s="18" t="s">
        <v>136</v>
      </c>
      <c r="B177" s="19">
        <f t="shared" ref="B177:I177" si="38">+SUM(B174:B176)</f>
        <v>606</v>
      </c>
      <c r="C177" s="19">
        <f t="shared" si="38"/>
        <v>649</v>
      </c>
      <c r="D177" s="19">
        <f t="shared" si="38"/>
        <v>706</v>
      </c>
      <c r="E177" s="19">
        <f t="shared" si="38"/>
        <v>747</v>
      </c>
      <c r="F177" s="19">
        <f t="shared" si="38"/>
        <v>705</v>
      </c>
      <c r="G177" s="19">
        <f t="shared" si="38"/>
        <v>721</v>
      </c>
      <c r="H177" s="19">
        <f t="shared" si="38"/>
        <v>744</v>
      </c>
      <c r="I177" s="19">
        <f t="shared" si="38"/>
        <v>717</v>
      </c>
    </row>
    <row r="178" ht="15.75" customHeight="1">
      <c r="A178" s="22" t="s">
        <v>126</v>
      </c>
      <c r="B178" s="23">
        <f t="shared" ref="B178:I178" si="39">+B177-B66</f>
        <v>0</v>
      </c>
      <c r="C178" s="23">
        <f t="shared" si="39"/>
        <v>0</v>
      </c>
      <c r="D178" s="23">
        <f t="shared" si="39"/>
        <v>0</v>
      </c>
      <c r="E178" s="23">
        <f t="shared" si="39"/>
        <v>0</v>
      </c>
      <c r="F178" s="23">
        <f t="shared" si="39"/>
        <v>0</v>
      </c>
      <c r="G178" s="23">
        <f t="shared" si="39"/>
        <v>0</v>
      </c>
      <c r="H178" s="23">
        <f t="shared" si="39"/>
        <v>0</v>
      </c>
      <c r="I178" s="23">
        <f t="shared" si="39"/>
        <v>0</v>
      </c>
    </row>
    <row r="179" ht="15.75" customHeight="1">
      <c r="A179" s="24" t="s">
        <v>137</v>
      </c>
      <c r="B179" s="24"/>
      <c r="C179" s="24"/>
      <c r="D179" s="24"/>
      <c r="E179" s="24"/>
      <c r="F179" s="24"/>
      <c r="G179" s="24"/>
      <c r="H179" s="24"/>
      <c r="I179" s="24"/>
    </row>
    <row r="180" ht="15.75" customHeight="1">
      <c r="A180" s="25" t="s">
        <v>138</v>
      </c>
    </row>
    <row r="181" ht="15.75" customHeight="1">
      <c r="A181" s="31" t="s">
        <v>113</v>
      </c>
      <c r="B181" s="32">
        <v>0.12</v>
      </c>
      <c r="C181" s="32">
        <v>0.08</v>
      </c>
      <c r="D181" s="32">
        <v>0.03</v>
      </c>
      <c r="E181" s="32">
        <v>-0.02</v>
      </c>
      <c r="F181" s="32">
        <v>0.07</v>
      </c>
      <c r="G181" s="32">
        <v>-0.09</v>
      </c>
      <c r="H181" s="32">
        <v>0.19</v>
      </c>
      <c r="I181" s="32">
        <v>0.07</v>
      </c>
    </row>
    <row r="182" ht="15.75" customHeight="1">
      <c r="A182" s="33" t="s">
        <v>114</v>
      </c>
      <c r="B182" s="34">
        <v>0.14</v>
      </c>
      <c r="C182" s="34">
        <v>0.1</v>
      </c>
      <c r="D182" s="34">
        <v>0.04</v>
      </c>
      <c r="E182" s="34">
        <v>-0.04</v>
      </c>
      <c r="F182" s="34">
        <v>0.08</v>
      </c>
      <c r="G182" s="34">
        <v>-0.14</v>
      </c>
      <c r="H182" s="34">
        <v>0.25</v>
      </c>
      <c r="I182" s="34">
        <v>0.05</v>
      </c>
    </row>
    <row r="183" ht="15.75" customHeight="1">
      <c r="A183" s="33" t="s">
        <v>115</v>
      </c>
      <c r="B183" s="34">
        <v>0.12</v>
      </c>
      <c r="C183" s="34">
        <v>0.08</v>
      </c>
      <c r="D183" s="34">
        <v>0.03</v>
      </c>
      <c r="E183" s="34">
        <v>0.01</v>
      </c>
      <c r="F183" s="34">
        <v>0.07</v>
      </c>
      <c r="G183" s="34">
        <v>-0.12</v>
      </c>
      <c r="H183" s="34">
        <v>0.08</v>
      </c>
      <c r="I183" s="34">
        <v>0.09</v>
      </c>
    </row>
    <row r="184" ht="15.75" customHeight="1">
      <c r="A184" s="33" t="s">
        <v>116</v>
      </c>
      <c r="B184" s="34">
        <v>-0.05</v>
      </c>
      <c r="C184" s="34">
        <v>-0.13</v>
      </c>
      <c r="D184" s="34">
        <v>-0.1</v>
      </c>
      <c r="E184" s="34">
        <v>-0.08</v>
      </c>
      <c r="F184" s="34">
        <v>0.0</v>
      </c>
      <c r="G184" s="34">
        <v>-0.07</v>
      </c>
      <c r="H184" s="34">
        <v>-0.02</v>
      </c>
      <c r="I184" s="34">
        <v>0.25</v>
      </c>
    </row>
    <row r="185" ht="15.75" customHeight="1">
      <c r="A185" s="31" t="s">
        <v>117</v>
      </c>
      <c r="B185" s="32">
        <v>0.36</v>
      </c>
      <c r="C185" s="32">
        <v>0.31</v>
      </c>
      <c r="D185" s="32">
        <v>0.18</v>
      </c>
      <c r="E185" s="32">
        <v>0.09</v>
      </c>
      <c r="F185" s="34">
        <v>0.11</v>
      </c>
      <c r="G185" s="32">
        <v>-0.01</v>
      </c>
      <c r="H185" s="32">
        <v>0.17</v>
      </c>
      <c r="I185" s="32">
        <v>0.12</v>
      </c>
    </row>
    <row r="186" ht="15.75" customHeight="1">
      <c r="A186" s="33" t="s">
        <v>114</v>
      </c>
      <c r="B186" s="34">
        <v>0.47</v>
      </c>
      <c r="C186" s="34">
        <v>0.37</v>
      </c>
      <c r="D186" s="34">
        <v>0.16</v>
      </c>
      <c r="E186" s="34">
        <v>0.06</v>
      </c>
      <c r="F186" s="34">
        <v>0.12</v>
      </c>
      <c r="G186" s="34">
        <v>-0.03</v>
      </c>
      <c r="H186" s="34">
        <v>0.13</v>
      </c>
      <c r="I186" s="34">
        <v>0.09</v>
      </c>
    </row>
    <row r="187" ht="15.75" customHeight="1">
      <c r="A187" s="33" t="s">
        <v>115</v>
      </c>
      <c r="B187" s="34">
        <v>0.19</v>
      </c>
      <c r="C187" s="34">
        <v>0.25</v>
      </c>
      <c r="D187" s="34">
        <v>0.25</v>
      </c>
      <c r="E187" s="34">
        <v>0.16</v>
      </c>
      <c r="F187" s="34">
        <v>0.09</v>
      </c>
      <c r="G187" s="34">
        <v>0.02</v>
      </c>
      <c r="H187" s="34">
        <v>0.25</v>
      </c>
      <c r="I187" s="34">
        <v>0.16</v>
      </c>
    </row>
    <row r="188" ht="15.75" customHeight="1">
      <c r="A188" s="33" t="s">
        <v>116</v>
      </c>
      <c r="B188" s="34">
        <v>0.19</v>
      </c>
      <c r="C188" s="34">
        <v>0.15</v>
      </c>
      <c r="D188" s="34">
        <v>0.13</v>
      </c>
      <c r="E188" s="34">
        <v>0.06</v>
      </c>
      <c r="F188" s="34">
        <v>0.05</v>
      </c>
      <c r="G188" s="34">
        <v>-0.03</v>
      </c>
      <c r="H188" s="34">
        <v>0.19</v>
      </c>
      <c r="I188" s="34">
        <v>0.17</v>
      </c>
    </row>
    <row r="189" ht="15.75" customHeight="1">
      <c r="A189" s="31" t="s">
        <v>118</v>
      </c>
      <c r="B189" s="32">
        <v>0.19</v>
      </c>
      <c r="C189" s="32">
        <v>0.07</v>
      </c>
      <c r="D189" s="32">
        <v>0.17</v>
      </c>
      <c r="E189" s="32">
        <v>0.18</v>
      </c>
      <c r="F189" s="32">
        <v>0.24</v>
      </c>
      <c r="G189" s="32">
        <v>0.11</v>
      </c>
      <c r="H189" s="32">
        <v>0.19</v>
      </c>
      <c r="I189" s="32">
        <v>-0.13</v>
      </c>
    </row>
    <row r="190" ht="15.75" customHeight="1">
      <c r="A190" s="33" t="s">
        <v>114</v>
      </c>
      <c r="B190" s="34">
        <v>0.28</v>
      </c>
      <c r="C190" s="34">
        <v>0.33</v>
      </c>
      <c r="D190" s="34">
        <v>0.18</v>
      </c>
      <c r="E190" s="34">
        <v>0.16</v>
      </c>
      <c r="F190" s="34">
        <v>0.25</v>
      </c>
      <c r="G190" s="34">
        <v>0.12</v>
      </c>
      <c r="H190" s="34">
        <v>0.19</v>
      </c>
      <c r="I190" s="34">
        <v>-0.1</v>
      </c>
    </row>
    <row r="191" ht="15.75" customHeight="1">
      <c r="A191" s="33" t="s">
        <v>115</v>
      </c>
      <c r="B191" s="34">
        <v>0.07</v>
      </c>
      <c r="C191" s="34">
        <v>0.17</v>
      </c>
      <c r="D191" s="34">
        <v>0.18</v>
      </c>
      <c r="E191" s="34">
        <v>0.23</v>
      </c>
      <c r="F191" s="34">
        <v>0.23</v>
      </c>
      <c r="G191" s="34">
        <v>0.08</v>
      </c>
      <c r="H191" s="34">
        <v>0.19</v>
      </c>
      <c r="I191" s="34">
        <v>-0.21</v>
      </c>
    </row>
    <row r="192" ht="15.75" customHeight="1">
      <c r="A192" s="33" t="s">
        <v>116</v>
      </c>
      <c r="B192" s="34">
        <v>0.01</v>
      </c>
      <c r="C192" s="34">
        <v>0.07</v>
      </c>
      <c r="D192" s="34">
        <v>0.03</v>
      </c>
      <c r="E192" s="34">
        <v>-0.01</v>
      </c>
      <c r="F192" s="34">
        <v>0.08</v>
      </c>
      <c r="G192" s="34">
        <v>0.11</v>
      </c>
      <c r="H192" s="34">
        <v>0.26</v>
      </c>
      <c r="I192" s="34">
        <v>-0.06</v>
      </c>
    </row>
    <row r="193" ht="15.75" customHeight="1">
      <c r="A193" s="31" t="s">
        <v>119</v>
      </c>
      <c r="B193" s="32">
        <v>0.17</v>
      </c>
      <c r="C193" s="32">
        <v>0.35</v>
      </c>
      <c r="D193" s="32">
        <v>0.21</v>
      </c>
      <c r="E193" s="32">
        <v>0.1</v>
      </c>
      <c r="F193" s="32">
        <v>0.13</v>
      </c>
      <c r="G193" s="32">
        <v>0.01</v>
      </c>
      <c r="H193" s="32">
        <v>0.08</v>
      </c>
      <c r="I193" s="32">
        <v>0.16</v>
      </c>
    </row>
    <row r="194" ht="15.75" customHeight="1">
      <c r="A194" s="33" t="s">
        <v>114</v>
      </c>
      <c r="B194" s="34">
        <v>0.32</v>
      </c>
      <c r="C194" s="34">
        <v>0.48</v>
      </c>
      <c r="D194" s="34">
        <v>0.24</v>
      </c>
      <c r="E194" s="34">
        <v>0.09</v>
      </c>
      <c r="F194" s="34">
        <v>0.12</v>
      </c>
      <c r="G194" s="34">
        <v>0.0</v>
      </c>
      <c r="H194" s="34">
        <v>0.08</v>
      </c>
      <c r="I194" s="34">
        <v>0.17</v>
      </c>
    </row>
    <row r="195" ht="15.75" customHeight="1">
      <c r="A195" s="33" t="s">
        <v>115</v>
      </c>
      <c r="B195" s="34">
        <v>-0.03</v>
      </c>
      <c r="C195" s="34">
        <v>0.16</v>
      </c>
      <c r="D195" s="34">
        <v>0.18</v>
      </c>
      <c r="E195" s="34">
        <v>0.15</v>
      </c>
      <c r="F195" s="34">
        <v>0.15</v>
      </c>
      <c r="G195" s="34">
        <v>0.02</v>
      </c>
      <c r="H195" s="34">
        <v>0.1</v>
      </c>
      <c r="I195" s="34">
        <v>0.12</v>
      </c>
    </row>
    <row r="196" ht="15.75" customHeight="1">
      <c r="A196" s="33" t="s">
        <v>116</v>
      </c>
      <c r="B196" s="34">
        <v>-0.01</v>
      </c>
      <c r="C196" s="34">
        <v>0.14</v>
      </c>
      <c r="D196" s="34">
        <v>-0.04</v>
      </c>
      <c r="E196" s="34">
        <v>-0.08</v>
      </c>
      <c r="F196" s="34">
        <v>0.08</v>
      </c>
      <c r="G196" s="34">
        <v>-0.04</v>
      </c>
      <c r="H196" s="34">
        <v>-0.09</v>
      </c>
      <c r="I196" s="34">
        <v>0.28</v>
      </c>
    </row>
    <row r="197" ht="15.75" customHeight="1">
      <c r="A197" s="31" t="s">
        <v>120</v>
      </c>
      <c r="B197" s="32">
        <v>-0.02</v>
      </c>
      <c r="C197" s="32">
        <v>-0.3</v>
      </c>
      <c r="D197" s="32">
        <v>0.02</v>
      </c>
      <c r="E197" s="32">
        <v>0.12</v>
      </c>
      <c r="F197" s="32">
        <v>3.02</v>
      </c>
      <c r="G197" s="32">
        <v>-0.26</v>
      </c>
      <c r="H197" s="32">
        <v>-0.17</v>
      </c>
      <c r="I197" s="32">
        <v>3.02</v>
      </c>
    </row>
    <row r="198" ht="15.75" customHeight="1">
      <c r="A198" s="35" t="s">
        <v>121</v>
      </c>
      <c r="B198" s="36">
        <v>0.1</v>
      </c>
      <c r="C198" s="36">
        <v>0.13</v>
      </c>
      <c r="D198" s="36">
        <v>0.06</v>
      </c>
      <c r="E198" s="36">
        <v>0.05</v>
      </c>
      <c r="F198" s="36">
        <v>0.11</v>
      </c>
      <c r="G198" s="36">
        <v>-0.02</v>
      </c>
      <c r="H198" s="36">
        <v>0.17</v>
      </c>
      <c r="I198" s="36">
        <v>0.06</v>
      </c>
    </row>
    <row r="199" ht="15.75" customHeight="1">
      <c r="A199" s="31" t="s">
        <v>122</v>
      </c>
      <c r="B199" s="32">
        <v>0.21</v>
      </c>
      <c r="C199" s="32">
        <v>0.02</v>
      </c>
      <c r="D199" s="32">
        <v>0.06</v>
      </c>
      <c r="E199" s="32">
        <v>-0.11</v>
      </c>
      <c r="F199" s="32">
        <v>0.07</v>
      </c>
      <c r="G199" s="32">
        <v>-0.01</v>
      </c>
      <c r="H199" s="32">
        <v>0.16</v>
      </c>
      <c r="I199" s="32">
        <v>0.07</v>
      </c>
    </row>
    <row r="200" ht="15.75" customHeight="1">
      <c r="A200" s="33" t="s">
        <v>114</v>
      </c>
      <c r="B200" s="34"/>
      <c r="C200" s="34"/>
      <c r="D200" s="34"/>
      <c r="E200" s="34"/>
      <c r="F200" s="34">
        <v>0.06</v>
      </c>
      <c r="G200" s="34">
        <v>0.01</v>
      </c>
      <c r="H200" s="34">
        <v>0.17</v>
      </c>
      <c r="I200" s="34">
        <v>0.06</v>
      </c>
    </row>
    <row r="201" ht="15.75" customHeight="1">
      <c r="A201" s="33" t="s">
        <v>115</v>
      </c>
      <c r="B201" s="34"/>
      <c r="C201" s="34"/>
      <c r="D201" s="34"/>
      <c r="E201" s="34"/>
      <c r="F201" s="34">
        <v>-0.03</v>
      </c>
      <c r="G201" s="34">
        <v>-0.22</v>
      </c>
      <c r="H201" s="34">
        <v>0.13</v>
      </c>
      <c r="I201" s="34">
        <v>-0.03</v>
      </c>
    </row>
    <row r="202" ht="15.75" customHeight="1">
      <c r="A202" s="33" t="s">
        <v>116</v>
      </c>
      <c r="B202" s="34"/>
      <c r="C202" s="34"/>
      <c r="D202" s="34"/>
      <c r="E202" s="34"/>
      <c r="F202" s="34">
        <v>-0.16</v>
      </c>
      <c r="G202" s="34">
        <v>0.08</v>
      </c>
      <c r="H202" s="34">
        <v>0.14</v>
      </c>
      <c r="I202" s="34">
        <v>-0.16</v>
      </c>
    </row>
    <row r="203" ht="15.75" customHeight="1">
      <c r="A203" s="33" t="s">
        <v>123</v>
      </c>
      <c r="B203" s="34"/>
      <c r="C203" s="34"/>
      <c r="D203" s="34"/>
      <c r="E203" s="34"/>
      <c r="F203" s="34">
        <v>0.42</v>
      </c>
      <c r="G203" s="34">
        <v>-0.14</v>
      </c>
      <c r="H203" s="34">
        <v>-0.01</v>
      </c>
      <c r="I203" s="34">
        <v>0.42</v>
      </c>
    </row>
    <row r="204" ht="15.75" customHeight="1">
      <c r="A204" s="33" t="s">
        <v>124</v>
      </c>
      <c r="B204" s="34">
        <v>0.0</v>
      </c>
      <c r="C204" s="34">
        <v>0.0</v>
      </c>
      <c r="D204" s="34">
        <v>0.0</v>
      </c>
      <c r="E204" s="34">
        <v>0.0</v>
      </c>
      <c r="F204" s="34">
        <v>0.0</v>
      </c>
      <c r="G204" s="34">
        <v>0.0</v>
      </c>
      <c r="H204" s="34">
        <v>0.0</v>
      </c>
      <c r="I204" s="34">
        <v>0.0</v>
      </c>
    </row>
    <row r="205" ht="15.75" customHeight="1">
      <c r="A205" s="37" t="s">
        <v>125</v>
      </c>
      <c r="B205" s="38">
        <v>0.1</v>
      </c>
      <c r="C205" s="38">
        <v>0.12</v>
      </c>
      <c r="D205" s="38">
        <v>0.06</v>
      </c>
      <c r="E205" s="38">
        <v>0.04</v>
      </c>
      <c r="F205" s="38">
        <v>0.11</v>
      </c>
      <c r="G205" s="38">
        <v>-0.02</v>
      </c>
      <c r="H205" s="38">
        <v>0.17</v>
      </c>
      <c r="I205" s="38">
        <v>0.06</v>
      </c>
    </row>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16" width="24.14"/>
    <col customWidth="1" min="17" max="26" width="8.86"/>
  </cols>
  <sheetData>
    <row r="1" ht="60.0" customHeight="1">
      <c r="A1" s="7" t="s">
        <v>139</v>
      </c>
      <c r="B1" s="8">
        <f t="shared" ref="B1:H1" si="1">+C1-1</f>
        <v>2015</v>
      </c>
      <c r="C1" s="8">
        <f t="shared" si="1"/>
        <v>2016</v>
      </c>
      <c r="D1" s="8">
        <f t="shared" si="1"/>
        <v>2017</v>
      </c>
      <c r="E1" s="8">
        <f t="shared" si="1"/>
        <v>2018</v>
      </c>
      <c r="F1" s="8">
        <f t="shared" si="1"/>
        <v>2019</v>
      </c>
      <c r="G1" s="8">
        <f t="shared" si="1"/>
        <v>2020</v>
      </c>
      <c r="H1" s="8">
        <f t="shared" si="1"/>
        <v>2021</v>
      </c>
      <c r="I1" s="8">
        <v>2022.0</v>
      </c>
      <c r="J1" s="39">
        <f t="shared" ref="J1:N1" si="2">+I1+1</f>
        <v>2023</v>
      </c>
      <c r="K1" s="39">
        <f t="shared" si="2"/>
        <v>2024</v>
      </c>
      <c r="L1" s="39">
        <f t="shared" si="2"/>
        <v>2025</v>
      </c>
      <c r="M1" s="39">
        <f t="shared" si="2"/>
        <v>2026</v>
      </c>
      <c r="N1" s="39">
        <f t="shared" si="2"/>
        <v>2027</v>
      </c>
    </row>
    <row r="2">
      <c r="A2" s="40" t="s">
        <v>140</v>
      </c>
      <c r="B2" s="40"/>
      <c r="C2" s="40"/>
      <c r="D2" s="40"/>
      <c r="E2" s="40"/>
      <c r="F2" s="40"/>
      <c r="G2" s="40"/>
      <c r="H2" s="40"/>
      <c r="I2" s="40"/>
      <c r="J2" s="39"/>
      <c r="K2" s="39"/>
      <c r="L2" s="39"/>
      <c r="M2" s="39"/>
      <c r="N2" s="39"/>
    </row>
    <row r="3">
      <c r="A3" s="12" t="s">
        <v>141</v>
      </c>
      <c r="B3" s="9">
        <f t="shared" ref="B3:N3" si="3">B21+B52+B83+B114+B145+B164+B199</f>
        <v>30601</v>
      </c>
      <c r="C3" s="9">
        <f t="shared" si="3"/>
        <v>32376</v>
      </c>
      <c r="D3" s="9">
        <f t="shared" si="3"/>
        <v>34350</v>
      </c>
      <c r="E3" s="9">
        <f t="shared" si="3"/>
        <v>36397</v>
      </c>
      <c r="F3" s="9">
        <f t="shared" si="3"/>
        <v>39117</v>
      </c>
      <c r="G3" s="9">
        <f t="shared" si="3"/>
        <v>37403</v>
      </c>
      <c r="H3" s="9">
        <f t="shared" si="3"/>
        <v>44538</v>
      </c>
      <c r="I3" s="9">
        <f t="shared" si="3"/>
        <v>46710</v>
      </c>
      <c r="J3" s="9">
        <f t="shared" si="3"/>
        <v>50251.93581</v>
      </c>
      <c r="K3" s="9">
        <f t="shared" si="3"/>
        <v>52276.55278</v>
      </c>
      <c r="L3" s="9">
        <f t="shared" si="3"/>
        <v>55998.63962</v>
      </c>
      <c r="M3" s="9">
        <f t="shared" si="3"/>
        <v>59774.72289</v>
      </c>
      <c r="N3" s="9">
        <f t="shared" si="3"/>
        <v>63683.20185</v>
      </c>
    </row>
    <row r="4">
      <c r="A4" s="41" t="s">
        <v>142</v>
      </c>
      <c r="B4" s="42" t="str">
        <f t="shared" ref="B4:N4" si="4">+IFERROR(B3/A3-1,"nm")</f>
        <v>nm</v>
      </c>
      <c r="C4" s="42">
        <f t="shared" si="4"/>
        <v>0.05800464037</v>
      </c>
      <c r="D4" s="42">
        <f t="shared" si="4"/>
        <v>0.0609710897</v>
      </c>
      <c r="E4" s="42">
        <f t="shared" si="4"/>
        <v>0.05959243086</v>
      </c>
      <c r="F4" s="42">
        <f t="shared" si="4"/>
        <v>0.07473143391</v>
      </c>
      <c r="G4" s="42">
        <f t="shared" si="4"/>
        <v>-0.04381726615</v>
      </c>
      <c r="H4" s="42">
        <f t="shared" si="4"/>
        <v>0.1907600995</v>
      </c>
      <c r="I4" s="42">
        <f t="shared" si="4"/>
        <v>0.04876734474</v>
      </c>
      <c r="J4" s="42">
        <f t="shared" si="4"/>
        <v>0.07582821258</v>
      </c>
      <c r="K4" s="42">
        <f t="shared" si="4"/>
        <v>0.0402893328</v>
      </c>
      <c r="L4" s="42">
        <f t="shared" si="4"/>
        <v>0.0711999289</v>
      </c>
      <c r="M4" s="42">
        <f t="shared" si="4"/>
        <v>0.06743169663</v>
      </c>
      <c r="N4" s="42">
        <f t="shared" si="4"/>
        <v>0.06538681857</v>
      </c>
    </row>
    <row r="5">
      <c r="A5" s="12" t="s">
        <v>143</v>
      </c>
      <c r="B5" s="9">
        <f t="shared" ref="B5:N5" si="5">B35+B66+B97+B128+B147+B182+B201</f>
        <v>4839</v>
      </c>
      <c r="C5" s="9">
        <f t="shared" si="5"/>
        <v>5291</v>
      </c>
      <c r="D5" s="9">
        <f t="shared" si="5"/>
        <v>5651</v>
      </c>
      <c r="E5" s="9">
        <f t="shared" si="5"/>
        <v>5126</v>
      </c>
      <c r="F5" s="9">
        <f t="shared" si="5"/>
        <v>5555</v>
      </c>
      <c r="G5" s="9">
        <f t="shared" si="5"/>
        <v>3697</v>
      </c>
      <c r="H5" s="9">
        <f t="shared" si="5"/>
        <v>7667</v>
      </c>
      <c r="I5" s="9">
        <f t="shared" si="5"/>
        <v>7573</v>
      </c>
      <c r="J5" s="9">
        <f t="shared" si="5"/>
        <v>12077.91018</v>
      </c>
      <c r="K5" s="9">
        <f t="shared" si="5"/>
        <v>8173.16149</v>
      </c>
      <c r="L5" s="9">
        <f t="shared" si="5"/>
        <v>12230.34356</v>
      </c>
      <c r="M5" s="9">
        <f t="shared" si="5"/>
        <v>11239.31836</v>
      </c>
      <c r="N5" s="9">
        <f t="shared" si="5"/>
        <v>11738.54324</v>
      </c>
    </row>
    <row r="6">
      <c r="A6" s="41" t="s">
        <v>142</v>
      </c>
      <c r="B6" s="42" t="str">
        <f t="shared" ref="B6:N6" si="6">+IFERROR(B5/A5-1,"nm")</f>
        <v>nm</v>
      </c>
      <c r="C6" s="42">
        <f t="shared" si="6"/>
        <v>0.09340772887</v>
      </c>
      <c r="D6" s="42">
        <f t="shared" si="6"/>
        <v>0.06804006804</v>
      </c>
      <c r="E6" s="42">
        <f t="shared" si="6"/>
        <v>-0.09290391081</v>
      </c>
      <c r="F6" s="42">
        <f t="shared" si="6"/>
        <v>0.08369098712</v>
      </c>
      <c r="G6" s="42">
        <f t="shared" si="6"/>
        <v>-0.3344734473</v>
      </c>
      <c r="H6" s="42">
        <f t="shared" si="6"/>
        <v>1.073843657</v>
      </c>
      <c r="I6" s="42">
        <f t="shared" si="6"/>
        <v>-0.01226033651</v>
      </c>
      <c r="J6" s="42">
        <f t="shared" si="6"/>
        <v>0.5948646744</v>
      </c>
      <c r="K6" s="42">
        <f t="shared" si="6"/>
        <v>-0.3232967154</v>
      </c>
      <c r="L6" s="42">
        <f t="shared" si="6"/>
        <v>0.4964030224</v>
      </c>
      <c r="M6" s="42">
        <f t="shared" si="6"/>
        <v>-0.08103003727</v>
      </c>
      <c r="N6" s="42">
        <f t="shared" si="6"/>
        <v>0.044417718</v>
      </c>
    </row>
    <row r="7">
      <c r="A7" s="41" t="s">
        <v>144</v>
      </c>
      <c r="B7" s="42">
        <f t="shared" ref="B7:I7" si="7">+IFERROR(B5/B$3,"nm")</f>
        <v>0.1581320872</v>
      </c>
      <c r="C7" s="42">
        <f t="shared" si="7"/>
        <v>0.1634235236</v>
      </c>
      <c r="D7" s="42">
        <f t="shared" si="7"/>
        <v>0.1645123726</v>
      </c>
      <c r="E7" s="42">
        <f t="shared" si="7"/>
        <v>0.1408357832</v>
      </c>
      <c r="F7" s="42">
        <f t="shared" si="7"/>
        <v>0.1420098678</v>
      </c>
      <c r="G7" s="42">
        <f t="shared" si="7"/>
        <v>0.09884233885</v>
      </c>
      <c r="H7" s="42">
        <f t="shared" si="7"/>
        <v>0.1721451345</v>
      </c>
      <c r="I7" s="42">
        <f t="shared" si="7"/>
        <v>0.162128024</v>
      </c>
      <c r="J7" s="42">
        <f>J5/J3</f>
        <v>0.2403471624</v>
      </c>
      <c r="K7" s="42">
        <f t="shared" ref="K7:N7" si="8">+IFERROR(K5/K$3,"nm")</f>
        <v>0.156344691</v>
      </c>
      <c r="L7" s="42">
        <f t="shared" si="8"/>
        <v>0.2184042977</v>
      </c>
      <c r="M7" s="42">
        <f t="shared" si="8"/>
        <v>0.1880279459</v>
      </c>
      <c r="N7" s="42">
        <f t="shared" si="8"/>
        <v>0.1843271521</v>
      </c>
    </row>
    <row r="8">
      <c r="A8" s="12" t="s">
        <v>145</v>
      </c>
      <c r="B8" s="9">
        <f t="shared" ref="B8:N8" si="9">B38+B69+B100+B131+B150+B185+B204</f>
        <v>606</v>
      </c>
      <c r="C8" s="9">
        <f t="shared" si="9"/>
        <v>649</v>
      </c>
      <c r="D8" s="9">
        <f t="shared" si="9"/>
        <v>706</v>
      </c>
      <c r="E8" s="9">
        <f t="shared" si="9"/>
        <v>747</v>
      </c>
      <c r="F8" s="9">
        <f t="shared" si="9"/>
        <v>705</v>
      </c>
      <c r="G8" s="9">
        <f t="shared" si="9"/>
        <v>721</v>
      </c>
      <c r="H8" s="9">
        <f t="shared" si="9"/>
        <v>744</v>
      </c>
      <c r="I8" s="9">
        <f t="shared" si="9"/>
        <v>717</v>
      </c>
      <c r="J8" s="9">
        <f t="shared" si="9"/>
        <v>720.15</v>
      </c>
      <c r="K8" s="9">
        <f t="shared" si="9"/>
        <v>730.28464</v>
      </c>
      <c r="L8" s="9">
        <f t="shared" si="9"/>
        <v>739.3872477</v>
      </c>
      <c r="M8" s="9">
        <f t="shared" si="9"/>
        <v>763.1416746</v>
      </c>
      <c r="N8" s="9">
        <f t="shared" si="9"/>
        <v>791.6444253</v>
      </c>
    </row>
    <row r="9">
      <c r="A9" s="41" t="s">
        <v>142</v>
      </c>
      <c r="B9" s="42" t="str">
        <f t="shared" ref="B9:N9" si="10">+IFERROR(B8/A8-1,"nm")</f>
        <v>nm</v>
      </c>
      <c r="C9" s="42">
        <f t="shared" si="10"/>
        <v>0.07095709571</v>
      </c>
      <c r="D9" s="42">
        <f t="shared" si="10"/>
        <v>0.08782742681</v>
      </c>
      <c r="E9" s="42">
        <f t="shared" si="10"/>
        <v>0.05807365439</v>
      </c>
      <c r="F9" s="42">
        <f t="shared" si="10"/>
        <v>-0.0562248996</v>
      </c>
      <c r="G9" s="42">
        <f t="shared" si="10"/>
        <v>0.02269503546</v>
      </c>
      <c r="H9" s="42">
        <f t="shared" si="10"/>
        <v>0.0319001387</v>
      </c>
      <c r="I9" s="42">
        <f t="shared" si="10"/>
        <v>-0.03629032258</v>
      </c>
      <c r="J9" s="42">
        <f t="shared" si="10"/>
        <v>0.004393305439</v>
      </c>
      <c r="K9" s="42">
        <f t="shared" si="10"/>
        <v>0.01407295702</v>
      </c>
      <c r="L9" s="42">
        <f t="shared" si="10"/>
        <v>0.0124644655</v>
      </c>
      <c r="M9" s="42">
        <f t="shared" si="10"/>
        <v>0.03212717966</v>
      </c>
      <c r="N9" s="42">
        <f t="shared" si="10"/>
        <v>0.03734922565</v>
      </c>
    </row>
    <row r="10">
      <c r="A10" s="41" t="s">
        <v>146</v>
      </c>
      <c r="B10" s="42">
        <f t="shared" ref="B10:N10" si="11">+IFERROR(B8/B$3,"nm")</f>
        <v>0.0198032744</v>
      </c>
      <c r="C10" s="42">
        <f t="shared" si="11"/>
        <v>0.02004571287</v>
      </c>
      <c r="D10" s="42">
        <f t="shared" si="11"/>
        <v>0.02055312955</v>
      </c>
      <c r="E10" s="42">
        <f t="shared" si="11"/>
        <v>0.02052366953</v>
      </c>
      <c r="F10" s="42">
        <f t="shared" si="11"/>
        <v>0.01802285451</v>
      </c>
      <c r="G10" s="42">
        <f t="shared" si="11"/>
        <v>0.01927652862</v>
      </c>
      <c r="H10" s="42">
        <f t="shared" si="11"/>
        <v>0.01670483632</v>
      </c>
      <c r="I10" s="42">
        <f t="shared" si="11"/>
        <v>0.01535003211</v>
      </c>
      <c r="J10" s="42">
        <f t="shared" si="11"/>
        <v>0.01433079121</v>
      </c>
      <c r="K10" s="42">
        <f t="shared" si="11"/>
        <v>0.01396964033</v>
      </c>
      <c r="L10" s="42">
        <f t="shared" si="11"/>
        <v>0.01320366446</v>
      </c>
      <c r="M10" s="42">
        <f t="shared" si="11"/>
        <v>0.01276696299</v>
      </c>
      <c r="N10" s="42">
        <f t="shared" si="11"/>
        <v>0.01243097712</v>
      </c>
    </row>
    <row r="11">
      <c r="A11" s="12" t="s">
        <v>147</v>
      </c>
      <c r="B11" s="9">
        <f t="shared" ref="B11:J11" si="12">B42+B73+B104+B135+B154+B189+B208</f>
        <v>4233</v>
      </c>
      <c r="C11" s="9">
        <f t="shared" si="12"/>
        <v>4642</v>
      </c>
      <c r="D11" s="9">
        <f t="shared" si="12"/>
        <v>4945</v>
      </c>
      <c r="E11" s="9">
        <f t="shared" si="12"/>
        <v>4379</v>
      </c>
      <c r="F11" s="9">
        <f t="shared" si="12"/>
        <v>4850</v>
      </c>
      <c r="G11" s="9">
        <f t="shared" si="12"/>
        <v>2976</v>
      </c>
      <c r="H11" s="9">
        <f t="shared" si="12"/>
        <v>6923</v>
      </c>
      <c r="I11" s="9">
        <f t="shared" si="12"/>
        <v>6856</v>
      </c>
      <c r="J11" s="9">
        <f t="shared" si="12"/>
        <v>7460.673074</v>
      </c>
      <c r="K11" s="9">
        <f t="shared" ref="K11:N11" si="13">K5-K8</f>
        <v>7442.87685</v>
      </c>
      <c r="L11" s="9">
        <f t="shared" si="13"/>
        <v>11490.95631</v>
      </c>
      <c r="M11" s="9">
        <f t="shared" si="13"/>
        <v>10476.17669</v>
      </c>
      <c r="N11" s="9">
        <f t="shared" si="13"/>
        <v>10946.89881</v>
      </c>
    </row>
    <row r="12">
      <c r="A12" s="41" t="s">
        <v>142</v>
      </c>
      <c r="B12" s="42" t="str">
        <f t="shared" ref="B12:N12" si="14">+IFERROR(B11/A11-1,"nm")</f>
        <v>nm</v>
      </c>
      <c r="C12" s="42">
        <f t="shared" si="14"/>
        <v>0.09662178124</v>
      </c>
      <c r="D12" s="42">
        <f t="shared" si="14"/>
        <v>0.06527358897</v>
      </c>
      <c r="E12" s="42">
        <f t="shared" si="14"/>
        <v>-0.1144590495</v>
      </c>
      <c r="F12" s="42">
        <f t="shared" si="14"/>
        <v>0.1075588034</v>
      </c>
      <c r="G12" s="42">
        <f t="shared" si="14"/>
        <v>-0.3863917526</v>
      </c>
      <c r="H12" s="42">
        <f t="shared" si="14"/>
        <v>1.326276882</v>
      </c>
      <c r="I12" s="42">
        <f t="shared" si="14"/>
        <v>-0.00967788531</v>
      </c>
      <c r="J12" s="42">
        <f t="shared" si="14"/>
        <v>0.08819618929</v>
      </c>
      <c r="K12" s="42">
        <f t="shared" si="14"/>
        <v>-0.002385337589</v>
      </c>
      <c r="L12" s="42">
        <f t="shared" si="14"/>
        <v>0.5438863951</v>
      </c>
      <c r="M12" s="42">
        <f t="shared" si="14"/>
        <v>-0.08831115478</v>
      </c>
      <c r="N12" s="42">
        <f t="shared" si="14"/>
        <v>0.04493262542</v>
      </c>
    </row>
    <row r="13">
      <c r="A13" s="41" t="s">
        <v>144</v>
      </c>
      <c r="B13" s="42">
        <f t="shared" ref="B13:N13" si="15">+IFERROR(B11/B$3,"nm")</f>
        <v>0.1383288128</v>
      </c>
      <c r="C13" s="42">
        <f t="shared" si="15"/>
        <v>0.1433778107</v>
      </c>
      <c r="D13" s="42">
        <f t="shared" si="15"/>
        <v>0.1439592431</v>
      </c>
      <c r="E13" s="42">
        <f t="shared" si="15"/>
        <v>0.1203121136</v>
      </c>
      <c r="F13" s="42">
        <f t="shared" si="15"/>
        <v>0.1239870133</v>
      </c>
      <c r="G13" s="42">
        <f t="shared" si="15"/>
        <v>0.07956581023</v>
      </c>
      <c r="H13" s="42">
        <f t="shared" si="15"/>
        <v>0.1554402982</v>
      </c>
      <c r="I13" s="42">
        <f t="shared" si="15"/>
        <v>0.1467779919</v>
      </c>
      <c r="J13" s="42">
        <f t="shared" si="15"/>
        <v>0.1484653865</v>
      </c>
      <c r="K13" s="42">
        <f t="shared" si="15"/>
        <v>0.1423750507</v>
      </c>
      <c r="L13" s="42">
        <f t="shared" si="15"/>
        <v>0.2052006332</v>
      </c>
      <c r="M13" s="42">
        <f t="shared" si="15"/>
        <v>0.1752609829</v>
      </c>
      <c r="N13" s="42">
        <f t="shared" si="15"/>
        <v>0.171896175</v>
      </c>
    </row>
    <row r="14">
      <c r="A14" s="12" t="s">
        <v>148</v>
      </c>
      <c r="B14" s="9">
        <f t="shared" ref="B14:N14" si="16">B45+B76+B107+B138+B157+B192+B211</f>
        <v>963</v>
      </c>
      <c r="C14" s="9">
        <f t="shared" si="16"/>
        <v>1143</v>
      </c>
      <c r="D14" s="9">
        <f t="shared" si="16"/>
        <v>1105</v>
      </c>
      <c r="E14" s="9">
        <f t="shared" si="16"/>
        <v>1028</v>
      </c>
      <c r="F14" s="9">
        <f t="shared" si="16"/>
        <v>1119</v>
      </c>
      <c r="G14" s="9">
        <f t="shared" si="16"/>
        <v>1086</v>
      </c>
      <c r="H14" s="9">
        <f t="shared" si="16"/>
        <v>695</v>
      </c>
      <c r="I14" s="9">
        <f t="shared" si="16"/>
        <v>758</v>
      </c>
      <c r="J14" s="9">
        <f t="shared" si="16"/>
        <v>888.45</v>
      </c>
      <c r="K14" s="9">
        <f t="shared" si="16"/>
        <v>931.1417</v>
      </c>
      <c r="L14" s="9">
        <f t="shared" si="16"/>
        <v>963.3622268</v>
      </c>
      <c r="M14" s="9">
        <f t="shared" si="16"/>
        <v>1017.221934</v>
      </c>
      <c r="N14" s="9">
        <f t="shared" si="16"/>
        <v>1086.318684</v>
      </c>
    </row>
    <row r="15">
      <c r="A15" s="41" t="s">
        <v>142</v>
      </c>
      <c r="B15" s="42" t="str">
        <f t="shared" ref="B15:N15" si="17">+IFERROR(B14/A14-1,"nm")</f>
        <v>nm</v>
      </c>
      <c r="C15" s="42">
        <f t="shared" si="17"/>
        <v>0.1869158879</v>
      </c>
      <c r="D15" s="42">
        <f t="shared" si="17"/>
        <v>-0.03324584427</v>
      </c>
      <c r="E15" s="42">
        <f t="shared" si="17"/>
        <v>-0.06968325792</v>
      </c>
      <c r="F15" s="42">
        <f t="shared" si="17"/>
        <v>0.08852140078</v>
      </c>
      <c r="G15" s="42">
        <f t="shared" si="17"/>
        <v>-0.02949061662</v>
      </c>
      <c r="H15" s="42">
        <f t="shared" si="17"/>
        <v>-0.3600368324</v>
      </c>
      <c r="I15" s="42">
        <f t="shared" si="17"/>
        <v>0.09064748201</v>
      </c>
      <c r="J15" s="42">
        <f t="shared" si="17"/>
        <v>0.1720976253</v>
      </c>
      <c r="K15" s="42">
        <f t="shared" si="17"/>
        <v>0.04805188812</v>
      </c>
      <c r="L15" s="42">
        <f t="shared" si="17"/>
        <v>0.0346032476</v>
      </c>
      <c r="M15" s="42">
        <f t="shared" si="17"/>
        <v>0.05590805345</v>
      </c>
      <c r="N15" s="42">
        <f t="shared" si="17"/>
        <v>0.06792691726</v>
      </c>
    </row>
    <row r="16">
      <c r="A16" s="41" t="s">
        <v>146</v>
      </c>
      <c r="B16" s="42">
        <f t="shared" ref="B16:N16" si="18">+IFERROR(B14/B$3,"nm")</f>
        <v>0.03146955982</v>
      </c>
      <c r="C16" s="42">
        <f t="shared" si="18"/>
        <v>0.03530392884</v>
      </c>
      <c r="D16" s="42">
        <f t="shared" si="18"/>
        <v>0.03216885007</v>
      </c>
      <c r="E16" s="42">
        <f t="shared" si="18"/>
        <v>0.02824408605</v>
      </c>
      <c r="F16" s="42">
        <f t="shared" si="18"/>
        <v>0.02860648823</v>
      </c>
      <c r="G16" s="42">
        <f t="shared" si="18"/>
        <v>0.02903510414</v>
      </c>
      <c r="H16" s="42">
        <f t="shared" si="18"/>
        <v>0.01560465221</v>
      </c>
      <c r="I16" s="42">
        <f t="shared" si="18"/>
        <v>0.01622778848</v>
      </c>
      <c r="J16" s="42">
        <f t="shared" si="18"/>
        <v>0.01767991592</v>
      </c>
      <c r="K16" s="42">
        <f t="shared" si="18"/>
        <v>0.01781184203</v>
      </c>
      <c r="L16" s="42">
        <f t="shared" si="18"/>
        <v>0.01720331482</v>
      </c>
      <c r="M16" s="42">
        <f t="shared" si="18"/>
        <v>0.01701759346</v>
      </c>
      <c r="N16" s="42">
        <f t="shared" si="18"/>
        <v>0.01705816687</v>
      </c>
    </row>
    <row r="17">
      <c r="A17" s="12" t="s">
        <v>149</v>
      </c>
      <c r="B17" s="9">
        <f t="shared" ref="B17:N17" si="19">B48+B79+B110+B141+B160+B195+B214</f>
        <v>3011</v>
      </c>
      <c r="C17" s="9">
        <f t="shared" si="19"/>
        <v>3520</v>
      </c>
      <c r="D17" s="9">
        <f t="shared" si="19"/>
        <v>3989</v>
      </c>
      <c r="E17" s="9">
        <f t="shared" si="19"/>
        <v>4454</v>
      </c>
      <c r="F17" s="9">
        <f t="shared" si="19"/>
        <v>4744</v>
      </c>
      <c r="G17" s="9">
        <f t="shared" si="19"/>
        <v>4866</v>
      </c>
      <c r="H17" s="9">
        <f t="shared" si="19"/>
        <v>4904</v>
      </c>
      <c r="I17" s="9">
        <f t="shared" si="19"/>
        <v>4791</v>
      </c>
      <c r="J17" s="9">
        <f t="shared" si="19"/>
        <v>4827.17188</v>
      </c>
      <c r="K17" s="9">
        <f t="shared" si="19"/>
        <v>4843.514331</v>
      </c>
      <c r="L17" s="9">
        <f t="shared" si="19"/>
        <v>4903.928062</v>
      </c>
      <c r="M17" s="9">
        <f t="shared" si="19"/>
        <v>4975.566424</v>
      </c>
      <c r="N17" s="9">
        <f t="shared" si="19"/>
        <v>5052.046209</v>
      </c>
    </row>
    <row r="18">
      <c r="A18" s="41" t="s">
        <v>142</v>
      </c>
      <c r="B18" s="42" t="str">
        <f t="shared" ref="B18:N18" si="20">+IFERROR(B17/A17-1,"nm")</f>
        <v>nm</v>
      </c>
      <c r="C18" s="42">
        <f t="shared" si="20"/>
        <v>0.1690468283</v>
      </c>
      <c r="D18" s="42">
        <f t="shared" si="20"/>
        <v>0.1332386364</v>
      </c>
      <c r="E18" s="42">
        <f t="shared" si="20"/>
        <v>0.1165705691</v>
      </c>
      <c r="F18" s="42">
        <f t="shared" si="20"/>
        <v>0.06511001347</v>
      </c>
      <c r="G18" s="42">
        <f t="shared" si="20"/>
        <v>0.02571669477</v>
      </c>
      <c r="H18" s="42">
        <f t="shared" si="20"/>
        <v>0.007809288944</v>
      </c>
      <c r="I18" s="42">
        <f t="shared" si="20"/>
        <v>-0.02304241436</v>
      </c>
      <c r="J18" s="42">
        <f t="shared" si="20"/>
        <v>0.007549964616</v>
      </c>
      <c r="K18" s="42">
        <f t="shared" si="20"/>
        <v>0.00338551254</v>
      </c>
      <c r="L18" s="42">
        <f t="shared" si="20"/>
        <v>0.01247311894</v>
      </c>
      <c r="M18" s="42">
        <f t="shared" si="20"/>
        <v>0.01460836314</v>
      </c>
      <c r="N18" s="42">
        <f t="shared" si="20"/>
        <v>0.01537107121</v>
      </c>
    </row>
    <row r="19">
      <c r="A19" s="41" t="s">
        <v>146</v>
      </c>
      <c r="B19" s="42">
        <f t="shared" ref="B19:N19" si="21">+IFERROR(B17/B$3,"nm")</f>
        <v>0.09839547727</v>
      </c>
      <c r="C19" s="42">
        <f t="shared" si="21"/>
        <v>0.1087225105</v>
      </c>
      <c r="D19" s="42">
        <f t="shared" si="21"/>
        <v>0.1161280932</v>
      </c>
      <c r="E19" s="42">
        <f t="shared" si="21"/>
        <v>0.122372723</v>
      </c>
      <c r="F19" s="42">
        <f t="shared" si="21"/>
        <v>0.1212771941</v>
      </c>
      <c r="G19" s="42">
        <f t="shared" si="21"/>
        <v>0.1300965163</v>
      </c>
      <c r="H19" s="42">
        <f t="shared" si="21"/>
        <v>0.1101082222</v>
      </c>
      <c r="I19" s="42">
        <f t="shared" si="21"/>
        <v>0.102569043</v>
      </c>
      <c r="J19" s="42">
        <f t="shared" si="21"/>
        <v>0.09605942145</v>
      </c>
      <c r="K19" s="42">
        <f t="shared" si="21"/>
        <v>0.09265175445</v>
      </c>
      <c r="L19" s="42">
        <f t="shared" si="21"/>
        <v>0.08757227132</v>
      </c>
      <c r="M19" s="42">
        <f t="shared" si="21"/>
        <v>0.08323863638</v>
      </c>
      <c r="N19" s="42">
        <f t="shared" si="21"/>
        <v>0.07933090772</v>
      </c>
    </row>
    <row r="20">
      <c r="A20" s="43" t="str">
        <f>+Historicals!A109</f>
        <v>North America</v>
      </c>
      <c r="B20" s="43"/>
      <c r="C20" s="43"/>
      <c r="D20" s="43"/>
      <c r="E20" s="43"/>
      <c r="F20" s="43"/>
      <c r="G20" s="43"/>
      <c r="H20" s="43"/>
      <c r="I20" s="43"/>
      <c r="J20" s="39"/>
      <c r="K20" s="39"/>
      <c r="L20" s="39"/>
      <c r="M20" s="39"/>
      <c r="N20" s="39"/>
    </row>
    <row r="21" ht="15.75" customHeight="1">
      <c r="A21" s="12" t="s">
        <v>150</v>
      </c>
      <c r="B21" s="12">
        <f>+Historicals!B109</f>
        <v>13740</v>
      </c>
      <c r="C21" s="12">
        <f>+Historicals!C109</f>
        <v>14764</v>
      </c>
      <c r="D21" s="12">
        <f>+Historicals!D109</f>
        <v>15216</v>
      </c>
      <c r="E21" s="12">
        <f>+Historicals!E109</f>
        <v>14855</v>
      </c>
      <c r="F21" s="12">
        <f>+Historicals!F109</f>
        <v>15902</v>
      </c>
      <c r="G21" s="12">
        <f>+Historicals!G109</f>
        <v>14484</v>
      </c>
      <c r="H21" s="12">
        <f>+Historicals!H109</f>
        <v>17179</v>
      </c>
      <c r="I21" s="12">
        <f>+Historicals!I109</f>
        <v>18353</v>
      </c>
      <c r="J21" s="12">
        <f>J23+J27+J31</f>
        <v>19883.15</v>
      </c>
      <c r="K21" s="12">
        <f t="shared" ref="K21:N21" si="22">+SUM(K23+K27+K31)</f>
        <v>21122.9395</v>
      </c>
      <c r="L21" s="12">
        <f t="shared" si="22"/>
        <v>22948.10808</v>
      </c>
      <c r="M21" s="12">
        <f t="shared" si="22"/>
        <v>24618.12037</v>
      </c>
      <c r="N21" s="12">
        <f t="shared" si="22"/>
        <v>26152.2051</v>
      </c>
    </row>
    <row r="22" ht="15.75" customHeight="1">
      <c r="A22" s="41" t="s">
        <v>142</v>
      </c>
      <c r="B22" s="42" t="str">
        <f t="shared" ref="B22:I22" si="23">+IFERROR(B21/A21-1,"nm")</f>
        <v>nm</v>
      </c>
      <c r="C22" s="42">
        <f t="shared" si="23"/>
        <v>0.07452692868</v>
      </c>
      <c r="D22" s="42">
        <f t="shared" si="23"/>
        <v>0.03061500948</v>
      </c>
      <c r="E22" s="42">
        <f t="shared" si="23"/>
        <v>-0.02372502629</v>
      </c>
      <c r="F22" s="42">
        <f t="shared" si="23"/>
        <v>0.07048131942</v>
      </c>
      <c r="G22" s="42">
        <f t="shared" si="23"/>
        <v>-0.08917117344</v>
      </c>
      <c r="H22" s="42">
        <f t="shared" si="23"/>
        <v>0.1860673847</v>
      </c>
      <c r="I22" s="42">
        <f t="shared" si="23"/>
        <v>0.06833925141</v>
      </c>
      <c r="J22" s="42">
        <f>(J21-I21)/(I21)</f>
        <v>0.08337329047</v>
      </c>
      <c r="K22" s="42">
        <f t="shared" ref="K22:N22" si="24">+IFERROR(K21/J21-1,"nm")</f>
        <v>0.06235377694</v>
      </c>
      <c r="L22" s="42">
        <f t="shared" si="24"/>
        <v>0.08640694043</v>
      </c>
      <c r="M22" s="42">
        <f t="shared" si="24"/>
        <v>0.07277341949</v>
      </c>
      <c r="N22" s="42">
        <f t="shared" si="24"/>
        <v>0.06231526632</v>
      </c>
      <c r="P22" s="2" t="s">
        <v>151</v>
      </c>
    </row>
    <row r="23" ht="15.75" customHeight="1">
      <c r="A23" s="44" t="s">
        <v>114</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9">
        <f t="shared" ref="J23:N23" si="25">+I23*(1+J24)</f>
        <v>12839.4</v>
      </c>
      <c r="K23" s="9">
        <f t="shared" si="25"/>
        <v>13352.976</v>
      </c>
      <c r="L23" s="9">
        <f t="shared" si="25"/>
        <v>14154.15456</v>
      </c>
      <c r="M23" s="9">
        <f t="shared" si="25"/>
        <v>15074.17461</v>
      </c>
      <c r="N23" s="9">
        <f t="shared" si="25"/>
        <v>15707.28994</v>
      </c>
    </row>
    <row r="24" ht="15.75" customHeight="1">
      <c r="A24" s="41" t="s">
        <v>142</v>
      </c>
      <c r="B24" s="42" t="str">
        <f t="shared" ref="B24:I24" si="26">+IFERROR(B23/A23-1,"nm")</f>
        <v>nm</v>
      </c>
      <c r="C24" s="42">
        <f t="shared" si="26"/>
        <v>0.09322830943</v>
      </c>
      <c r="D24" s="42">
        <f t="shared" si="26"/>
        <v>0.04140230132</v>
      </c>
      <c r="E24" s="42">
        <f t="shared" si="26"/>
        <v>-0.03738124742</v>
      </c>
      <c r="F24" s="42">
        <f t="shared" si="26"/>
        <v>0.07755846385</v>
      </c>
      <c r="G24" s="42">
        <f t="shared" si="26"/>
        <v>-0.0712792434</v>
      </c>
      <c r="H24" s="42">
        <f t="shared" si="26"/>
        <v>0.2481509272</v>
      </c>
      <c r="I24" s="42">
        <f t="shared" si="26"/>
        <v>0.05015458605</v>
      </c>
      <c r="J24" s="42">
        <f t="shared" ref="J24:N24" si="27">+J25+J26</f>
        <v>0.05</v>
      </c>
      <c r="K24" s="42">
        <f t="shared" si="27"/>
        <v>0.04</v>
      </c>
      <c r="L24" s="42">
        <f t="shared" si="27"/>
        <v>0.06</v>
      </c>
      <c r="M24" s="42">
        <f t="shared" si="27"/>
        <v>0.065</v>
      </c>
      <c r="N24" s="42">
        <f t="shared" si="27"/>
        <v>0.042</v>
      </c>
      <c r="P24" s="2" t="s">
        <v>152</v>
      </c>
    </row>
    <row r="25" ht="15.75" customHeight="1">
      <c r="A25" s="41" t="s">
        <v>153</v>
      </c>
      <c r="B25" s="42">
        <f>+Historicals!B182</f>
        <v>0.14</v>
      </c>
      <c r="C25" s="42">
        <f>+Historicals!C182</f>
        <v>0.1</v>
      </c>
      <c r="D25" s="42">
        <f>+Historicals!D182</f>
        <v>0.04</v>
      </c>
      <c r="E25" s="42">
        <f>+Historicals!E182</f>
        <v>-0.04</v>
      </c>
      <c r="F25" s="42">
        <f>+Historicals!F182</f>
        <v>0.08</v>
      </c>
      <c r="G25" s="42">
        <f>+Historicals!G182</f>
        <v>-0.14</v>
      </c>
      <c r="H25" s="42">
        <f>+Historicals!H182</f>
        <v>0.25</v>
      </c>
      <c r="I25" s="42">
        <f>+Historicals!I182</f>
        <v>0.05</v>
      </c>
      <c r="J25" s="45">
        <v>0.05</v>
      </c>
      <c r="K25" s="45">
        <v>0.04</v>
      </c>
      <c r="L25" s="45">
        <f>6%</f>
        <v>0.06</v>
      </c>
      <c r="M25" s="45">
        <f>6.5%</f>
        <v>0.065</v>
      </c>
      <c r="N25" s="45">
        <f>4.2%</f>
        <v>0.042</v>
      </c>
    </row>
    <row r="26" ht="15.75" customHeight="1">
      <c r="A26" s="41" t="s">
        <v>154</v>
      </c>
      <c r="B26" s="42" t="str">
        <f t="shared" ref="B26:I26" si="28">+IFERROR(B24-B25,"nm")</f>
        <v>nm</v>
      </c>
      <c r="C26" s="42">
        <f t="shared" si="28"/>
        <v>-0.006771690571</v>
      </c>
      <c r="D26" s="42">
        <f t="shared" si="28"/>
        <v>0.001402301323</v>
      </c>
      <c r="E26" s="42">
        <f t="shared" si="28"/>
        <v>0.002618752582</v>
      </c>
      <c r="F26" s="42">
        <f t="shared" si="28"/>
        <v>-0.002441536151</v>
      </c>
      <c r="G26" s="42">
        <f t="shared" si="28"/>
        <v>0.0687207566</v>
      </c>
      <c r="H26" s="42">
        <f t="shared" si="28"/>
        <v>-0.001849072784</v>
      </c>
      <c r="I26" s="42">
        <f t="shared" si="28"/>
        <v>0.0001545860529</v>
      </c>
      <c r="J26" s="45">
        <v>0.0</v>
      </c>
      <c r="K26" s="45">
        <f t="shared" ref="K26:N26" si="29">+J26</f>
        <v>0</v>
      </c>
      <c r="L26" s="45">
        <f t="shared" si="29"/>
        <v>0</v>
      </c>
      <c r="M26" s="45">
        <f t="shared" si="29"/>
        <v>0</v>
      </c>
      <c r="N26" s="45">
        <f t="shared" si="29"/>
        <v>0</v>
      </c>
    </row>
    <row r="27" ht="15.75" customHeight="1">
      <c r="A27" s="44" t="s">
        <v>115</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9">
        <f t="shared" ref="J27:N27" si="30">+I27*(1+J28)</f>
        <v>6315.8</v>
      </c>
      <c r="K27" s="9">
        <f t="shared" si="30"/>
        <v>6947.38</v>
      </c>
      <c r="L27" s="9">
        <f t="shared" si="30"/>
        <v>7864.43416</v>
      </c>
      <c r="M27" s="9">
        <f t="shared" si="30"/>
        <v>8493.588893</v>
      </c>
      <c r="N27" s="9">
        <f t="shared" si="30"/>
        <v>9258.011893</v>
      </c>
    </row>
    <row r="28" ht="15.75" customHeight="1">
      <c r="A28" s="41" t="s">
        <v>142</v>
      </c>
      <c r="B28" s="42" t="str">
        <f t="shared" ref="B28:I28" si="31">+IFERROR(B27/A27-1,"nm")</f>
        <v>nm</v>
      </c>
      <c r="C28" s="42">
        <f t="shared" si="31"/>
        <v>0.07619047619</v>
      </c>
      <c r="D28" s="42">
        <f t="shared" si="31"/>
        <v>0.02949852507</v>
      </c>
      <c r="E28" s="42">
        <f t="shared" si="31"/>
        <v>0.01064265248</v>
      </c>
      <c r="F28" s="42">
        <f t="shared" si="31"/>
        <v>0.06520858647</v>
      </c>
      <c r="G28" s="42">
        <f t="shared" si="31"/>
        <v>-0.1180608365</v>
      </c>
      <c r="H28" s="42">
        <f t="shared" si="31"/>
        <v>0.08385427894</v>
      </c>
      <c r="I28" s="42">
        <f t="shared" si="31"/>
        <v>0.092283214</v>
      </c>
      <c r="J28" s="42">
        <f t="shared" ref="J28:N28" si="32">+J29+J30</f>
        <v>0.15</v>
      </c>
      <c r="K28" s="42">
        <f t="shared" si="32"/>
        <v>0.1</v>
      </c>
      <c r="L28" s="42">
        <f t="shared" si="32"/>
        <v>0.132</v>
      </c>
      <c r="M28" s="42">
        <f t="shared" si="32"/>
        <v>0.08</v>
      </c>
      <c r="N28" s="42">
        <f t="shared" si="32"/>
        <v>0.09</v>
      </c>
    </row>
    <row r="29" ht="15.75" customHeight="1">
      <c r="A29" s="41" t="s">
        <v>153</v>
      </c>
      <c r="B29" s="42">
        <f>+Historicals!B186</f>
        <v>0.47</v>
      </c>
      <c r="C29" s="42">
        <f>+Historicals!C186</f>
        <v>0.37</v>
      </c>
      <c r="D29" s="42">
        <f>+Historicals!D186</f>
        <v>0.16</v>
      </c>
      <c r="E29" s="42">
        <f>+Historicals!E186</f>
        <v>0.06</v>
      </c>
      <c r="F29" s="42">
        <f>+Historicals!F186</f>
        <v>0.12</v>
      </c>
      <c r="G29" s="42">
        <f>+Historicals!G186</f>
        <v>-0.03</v>
      </c>
      <c r="H29" s="42">
        <f>+Historicals!H186</f>
        <v>0.13</v>
      </c>
      <c r="I29" s="42">
        <f>+Historicals!I186</f>
        <v>0.09</v>
      </c>
      <c r="J29" s="45">
        <v>0.15</v>
      </c>
      <c r="K29" s="45">
        <f>10%</f>
        <v>0.1</v>
      </c>
      <c r="L29" s="45">
        <f>13.2%</f>
        <v>0.132</v>
      </c>
      <c r="M29" s="45">
        <f>8%</f>
        <v>0.08</v>
      </c>
      <c r="N29" s="45">
        <f>9%</f>
        <v>0.09</v>
      </c>
      <c r="P29" s="2" t="s">
        <v>155</v>
      </c>
    </row>
    <row r="30" ht="15.75" customHeight="1">
      <c r="A30" s="41" t="s">
        <v>154</v>
      </c>
      <c r="B30" s="42" t="str">
        <f t="shared" ref="B30:I30" si="33">+IFERROR(B28-B29,"nm")</f>
        <v>nm</v>
      </c>
      <c r="C30" s="42">
        <f t="shared" si="33"/>
        <v>-0.2938095238</v>
      </c>
      <c r="D30" s="42">
        <f t="shared" si="33"/>
        <v>-0.1305014749</v>
      </c>
      <c r="E30" s="42">
        <f t="shared" si="33"/>
        <v>-0.04935734752</v>
      </c>
      <c r="F30" s="42">
        <f t="shared" si="33"/>
        <v>-0.05479141353</v>
      </c>
      <c r="G30" s="42">
        <f t="shared" si="33"/>
        <v>-0.0880608365</v>
      </c>
      <c r="H30" s="42">
        <f t="shared" si="33"/>
        <v>-0.04614572106</v>
      </c>
      <c r="I30" s="42">
        <f t="shared" si="33"/>
        <v>0.002283214002</v>
      </c>
      <c r="J30" s="45">
        <v>0.0</v>
      </c>
      <c r="K30" s="45">
        <f t="shared" ref="K30:N30" si="34">+J30</f>
        <v>0</v>
      </c>
      <c r="L30" s="45">
        <f t="shared" si="34"/>
        <v>0</v>
      </c>
      <c r="M30" s="45">
        <f t="shared" si="34"/>
        <v>0</v>
      </c>
      <c r="N30" s="45">
        <f t="shared" si="34"/>
        <v>0</v>
      </c>
    </row>
    <row r="31" ht="15.75" customHeight="1">
      <c r="A31" s="44" t="s">
        <v>116</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9">
        <f t="shared" ref="J31:N31" si="35">+I31*(1+J32)</f>
        <v>727.95</v>
      </c>
      <c r="K31" s="9">
        <f t="shared" si="35"/>
        <v>822.5835</v>
      </c>
      <c r="L31" s="9">
        <f t="shared" si="35"/>
        <v>929.519355</v>
      </c>
      <c r="M31" s="9">
        <f t="shared" si="35"/>
        <v>1050.356871</v>
      </c>
      <c r="N31" s="9">
        <f t="shared" si="35"/>
        <v>1186.903264</v>
      </c>
    </row>
    <row r="32" ht="15.75" customHeight="1">
      <c r="A32" s="41" t="s">
        <v>142</v>
      </c>
      <c r="B32" s="42" t="str">
        <f t="shared" ref="B32:I32" si="36">+IFERROR(B31/A31-1,"nm")</f>
        <v>nm</v>
      </c>
      <c r="C32" s="42">
        <f t="shared" si="36"/>
        <v>-0.1274271845</v>
      </c>
      <c r="D32" s="42">
        <f t="shared" si="36"/>
        <v>-0.1015299026</v>
      </c>
      <c r="E32" s="42">
        <f t="shared" si="36"/>
        <v>-0.07894736842</v>
      </c>
      <c r="F32" s="42">
        <f t="shared" si="36"/>
        <v>0.003361344538</v>
      </c>
      <c r="G32" s="42">
        <f t="shared" si="36"/>
        <v>-0.135678392</v>
      </c>
      <c r="H32" s="42">
        <f t="shared" si="36"/>
        <v>-0.01744186047</v>
      </c>
      <c r="I32" s="42">
        <f t="shared" si="36"/>
        <v>0.2485207101</v>
      </c>
      <c r="J32" s="42">
        <f t="shared" ref="J32:N32" si="37">+J33+J34</f>
        <v>0.15</v>
      </c>
      <c r="K32" s="42">
        <f t="shared" si="37"/>
        <v>0.13</v>
      </c>
      <c r="L32" s="42">
        <f t="shared" si="37"/>
        <v>0.13</v>
      </c>
      <c r="M32" s="42">
        <f t="shared" si="37"/>
        <v>0.13</v>
      </c>
      <c r="N32" s="42">
        <f t="shared" si="37"/>
        <v>0.13</v>
      </c>
      <c r="P32" s="2" t="s">
        <v>156</v>
      </c>
    </row>
    <row r="33" ht="15.75" customHeight="1">
      <c r="A33" s="41" t="s">
        <v>153</v>
      </c>
      <c r="B33" s="42">
        <f>+Historicals!B184</f>
        <v>-0.05</v>
      </c>
      <c r="C33" s="42">
        <f>+Historicals!C184</f>
        <v>-0.13</v>
      </c>
      <c r="D33" s="42">
        <f>+Historicals!D184</f>
        <v>-0.1</v>
      </c>
      <c r="E33" s="42">
        <f>+Historicals!E184</f>
        <v>-0.08</v>
      </c>
      <c r="F33" s="42">
        <f>+Historicals!F184</f>
        <v>0</v>
      </c>
      <c r="G33" s="42">
        <f>+Historicals!G184</f>
        <v>-0.07</v>
      </c>
      <c r="H33" s="42">
        <f>+Historicals!H184</f>
        <v>-0.02</v>
      </c>
      <c r="I33" s="42">
        <f>+Historicals!I184</f>
        <v>0.25</v>
      </c>
      <c r="J33" s="45">
        <v>0.15</v>
      </c>
      <c r="K33" s="45">
        <f>13%</f>
        <v>0.13</v>
      </c>
      <c r="L33" s="45">
        <f t="shared" ref="L33:N33" si="38">+K33</f>
        <v>0.13</v>
      </c>
      <c r="M33" s="45">
        <f t="shared" si="38"/>
        <v>0.13</v>
      </c>
      <c r="N33" s="45">
        <f t="shared" si="38"/>
        <v>0.13</v>
      </c>
    </row>
    <row r="34" ht="15.75" customHeight="1">
      <c r="A34" s="41" t="s">
        <v>154</v>
      </c>
      <c r="B34" s="42" t="str">
        <f t="shared" ref="B34:I34" si="39">+IFERROR(B32-B33,"nm")</f>
        <v>nm</v>
      </c>
      <c r="C34" s="42">
        <f t="shared" si="39"/>
        <v>0.002572815534</v>
      </c>
      <c r="D34" s="42">
        <f t="shared" si="39"/>
        <v>-0.001529902643</v>
      </c>
      <c r="E34" s="42">
        <f t="shared" si="39"/>
        <v>0.001052631579</v>
      </c>
      <c r="F34" s="42">
        <f t="shared" si="39"/>
        <v>0.003361344538</v>
      </c>
      <c r="G34" s="42">
        <f t="shared" si="39"/>
        <v>-0.06567839196</v>
      </c>
      <c r="H34" s="42">
        <f t="shared" si="39"/>
        <v>0.002558139535</v>
      </c>
      <c r="I34" s="42">
        <f t="shared" si="39"/>
        <v>-0.001479289941</v>
      </c>
      <c r="J34" s="45">
        <v>0.0</v>
      </c>
      <c r="K34" s="45">
        <f t="shared" ref="K34:N34" si="40">+J34</f>
        <v>0</v>
      </c>
      <c r="L34" s="45">
        <f t="shared" si="40"/>
        <v>0</v>
      </c>
      <c r="M34" s="45">
        <f t="shared" si="40"/>
        <v>0</v>
      </c>
      <c r="N34" s="45">
        <f t="shared" si="40"/>
        <v>0</v>
      </c>
    </row>
    <row r="35" ht="15.75" customHeight="1">
      <c r="A35" s="12" t="s">
        <v>143</v>
      </c>
      <c r="B35" s="12">
        <f t="shared" ref="B35:I35" si="41">+B42+B38</f>
        <v>3766</v>
      </c>
      <c r="C35" s="12">
        <f t="shared" si="41"/>
        <v>3896</v>
      </c>
      <c r="D35" s="12">
        <f t="shared" si="41"/>
        <v>4015</v>
      </c>
      <c r="E35" s="12">
        <f t="shared" si="41"/>
        <v>3760</v>
      </c>
      <c r="F35" s="12">
        <f t="shared" si="41"/>
        <v>4074</v>
      </c>
      <c r="G35" s="12">
        <f t="shared" si="41"/>
        <v>3047</v>
      </c>
      <c r="H35" s="12">
        <f t="shared" si="41"/>
        <v>5219</v>
      </c>
      <c r="I35" s="12">
        <f t="shared" si="41"/>
        <v>5238</v>
      </c>
      <c r="J35" s="12">
        <f t="shared" ref="J35:N35" si="42">J37*J21</f>
        <v>5467.86625</v>
      </c>
      <c r="K35" s="12">
        <f t="shared" si="42"/>
        <v>5956.668939</v>
      </c>
      <c r="L35" s="12">
        <f t="shared" si="42"/>
        <v>6379.574045</v>
      </c>
      <c r="M35" s="12">
        <f t="shared" si="42"/>
        <v>7016.164306</v>
      </c>
      <c r="N35" s="12">
        <f t="shared" si="42"/>
        <v>7139.551992</v>
      </c>
      <c r="O35" s="46" t="s">
        <v>157</v>
      </c>
      <c r="P35" s="46"/>
      <c r="Q35" s="46"/>
      <c r="R35" s="46"/>
      <c r="S35" s="46"/>
      <c r="T35" s="46"/>
      <c r="U35" s="46"/>
      <c r="V35" s="46"/>
    </row>
    <row r="36" ht="15.75" customHeight="1">
      <c r="A36" s="41" t="s">
        <v>142</v>
      </c>
      <c r="B36" s="42" t="str">
        <f t="shared" ref="B36:N36" si="43">+IFERROR(B35/A35-1,"nm")</f>
        <v>nm</v>
      </c>
      <c r="C36" s="42">
        <f t="shared" si="43"/>
        <v>0.03451938396</v>
      </c>
      <c r="D36" s="42">
        <f t="shared" si="43"/>
        <v>0.03054414784</v>
      </c>
      <c r="E36" s="42">
        <f t="shared" si="43"/>
        <v>-0.06351183064</v>
      </c>
      <c r="F36" s="42">
        <f t="shared" si="43"/>
        <v>0.0835106383</v>
      </c>
      <c r="G36" s="42">
        <f t="shared" si="43"/>
        <v>-0.2520864016</v>
      </c>
      <c r="H36" s="42">
        <f t="shared" si="43"/>
        <v>0.7128322941</v>
      </c>
      <c r="I36" s="42">
        <f t="shared" si="43"/>
        <v>0.003640544166</v>
      </c>
      <c r="J36" s="42">
        <f t="shared" si="43"/>
        <v>0.04388435472</v>
      </c>
      <c r="K36" s="42">
        <f t="shared" si="43"/>
        <v>0.08939550945</v>
      </c>
      <c r="L36" s="42">
        <f t="shared" si="43"/>
        <v>0.0709969129</v>
      </c>
      <c r="M36" s="42">
        <f t="shared" si="43"/>
        <v>0.09978569983</v>
      </c>
      <c r="N36" s="42">
        <f t="shared" si="43"/>
        <v>0.01758620247</v>
      </c>
    </row>
    <row r="37" ht="15.75" customHeight="1">
      <c r="A37" s="41" t="s">
        <v>144</v>
      </c>
      <c r="B37" s="42">
        <f t="shared" ref="B37:I37" si="44">+IFERROR(B35/B$21,"nm")</f>
        <v>0.2740902475</v>
      </c>
      <c r="C37" s="42">
        <f t="shared" si="44"/>
        <v>0.263885126</v>
      </c>
      <c r="D37" s="42">
        <f t="shared" si="44"/>
        <v>0.2638669821</v>
      </c>
      <c r="E37" s="42">
        <f t="shared" si="44"/>
        <v>0.2531134298</v>
      </c>
      <c r="F37" s="42">
        <f t="shared" si="44"/>
        <v>0.2561941894</v>
      </c>
      <c r="G37" s="42">
        <f t="shared" si="44"/>
        <v>0.2103700635</v>
      </c>
      <c r="H37" s="42">
        <f t="shared" si="44"/>
        <v>0.3038011526</v>
      </c>
      <c r="I37" s="42">
        <f t="shared" si="44"/>
        <v>0.2854029314</v>
      </c>
      <c r="J37" s="45">
        <v>0.275</v>
      </c>
      <c r="K37" s="45">
        <v>0.282</v>
      </c>
      <c r="L37" s="45">
        <v>0.278</v>
      </c>
      <c r="M37" s="45">
        <v>0.285</v>
      </c>
      <c r="N37" s="45">
        <v>0.273</v>
      </c>
    </row>
    <row r="38" ht="15.75" customHeight="1">
      <c r="A38" s="12" t="s">
        <v>145</v>
      </c>
      <c r="B38" s="12">
        <f>+Historicals!B169</f>
        <v>121</v>
      </c>
      <c r="C38" s="12">
        <f>+Historicals!C169</f>
        <v>133</v>
      </c>
      <c r="D38" s="12">
        <f>+Historicals!D169</f>
        <v>140</v>
      </c>
      <c r="E38" s="12">
        <f>+Historicals!E169</f>
        <v>160</v>
      </c>
      <c r="F38" s="12">
        <f>+Historicals!F169</f>
        <v>149</v>
      </c>
      <c r="G38" s="12">
        <f>+Historicals!G169</f>
        <v>148</v>
      </c>
      <c r="H38" s="12">
        <f>+Historicals!H169</f>
        <v>130</v>
      </c>
      <c r="I38" s="12">
        <f>+Historicals!I169</f>
        <v>124</v>
      </c>
      <c r="J38" s="12">
        <f t="shared" ref="J38:N38" si="45">I38*(1+J39)</f>
        <v>111.6</v>
      </c>
      <c r="K38" s="12">
        <f t="shared" si="45"/>
        <v>105.462</v>
      </c>
      <c r="L38" s="12">
        <f t="shared" si="45"/>
        <v>97.02504</v>
      </c>
      <c r="M38" s="12">
        <f t="shared" si="45"/>
        <v>95.0845392</v>
      </c>
      <c r="N38" s="12">
        <f t="shared" si="45"/>
        <v>96.32063821</v>
      </c>
    </row>
    <row r="39" ht="15.75" customHeight="1">
      <c r="A39" s="41" t="s">
        <v>142</v>
      </c>
      <c r="B39" s="42" t="str">
        <f t="shared" ref="B39:I39" si="46">+IFERROR(B38/A38-1,"nm")</f>
        <v>nm</v>
      </c>
      <c r="C39" s="42">
        <f t="shared" si="46"/>
        <v>0.09917355372</v>
      </c>
      <c r="D39" s="42">
        <f t="shared" si="46"/>
        <v>0.05263157895</v>
      </c>
      <c r="E39" s="42">
        <f t="shared" si="46"/>
        <v>0.1428571429</v>
      </c>
      <c r="F39" s="42">
        <f t="shared" si="46"/>
        <v>-0.06875</v>
      </c>
      <c r="G39" s="42">
        <f t="shared" si="46"/>
        <v>-0.006711409396</v>
      </c>
      <c r="H39" s="42">
        <f t="shared" si="46"/>
        <v>-0.1216216216</v>
      </c>
      <c r="I39" s="42">
        <f t="shared" si="46"/>
        <v>-0.04615384615</v>
      </c>
      <c r="J39" s="42">
        <f>-0.1</f>
        <v>-0.1</v>
      </c>
      <c r="K39" s="42">
        <f>-5.5%</f>
        <v>-0.055</v>
      </c>
      <c r="L39" s="42">
        <f>-8%</f>
        <v>-0.08</v>
      </c>
      <c r="M39" s="42">
        <f>-2%</f>
        <v>-0.02</v>
      </c>
      <c r="N39" s="42">
        <f>1.3%</f>
        <v>0.013</v>
      </c>
      <c r="P39" s="2" t="s">
        <v>158</v>
      </c>
    </row>
    <row r="40" ht="15.75" customHeight="1">
      <c r="A40" s="41" t="s">
        <v>146</v>
      </c>
      <c r="B40" s="42">
        <f t="shared" ref="B40:N40" si="47">+IFERROR(B38/B$21,"nm")</f>
        <v>0.008806404658</v>
      </c>
      <c r="C40" s="42">
        <f t="shared" si="47"/>
        <v>0.009008398808</v>
      </c>
      <c r="D40" s="42">
        <f t="shared" si="47"/>
        <v>0.00920084122</v>
      </c>
      <c r="E40" s="42">
        <f t="shared" si="47"/>
        <v>0.01077078425</v>
      </c>
      <c r="F40" s="42">
        <f t="shared" si="47"/>
        <v>0.00936989058</v>
      </c>
      <c r="G40" s="42">
        <f t="shared" si="47"/>
        <v>0.01021817178</v>
      </c>
      <c r="H40" s="42">
        <f t="shared" si="47"/>
        <v>0.007567378776</v>
      </c>
      <c r="I40" s="42">
        <f t="shared" si="47"/>
        <v>0.006756388601</v>
      </c>
      <c r="J40" s="42">
        <f t="shared" si="47"/>
        <v>0.005612792742</v>
      </c>
      <c r="K40" s="42">
        <f t="shared" si="47"/>
        <v>0.004992771011</v>
      </c>
      <c r="L40" s="42">
        <f t="shared" si="47"/>
        <v>0.004228019133</v>
      </c>
      <c r="M40" s="42">
        <f t="shared" si="47"/>
        <v>0.00386238014</v>
      </c>
      <c r="N40" s="42">
        <f t="shared" si="47"/>
        <v>0.003683079031</v>
      </c>
    </row>
    <row r="41" ht="15.75" customHeight="1">
      <c r="A41" s="41" t="s">
        <v>159</v>
      </c>
      <c r="B41" s="42">
        <f t="shared" ref="B41:I41" si="48">+IFERROR(B38/B48,"nm")</f>
        <v>0.1914556962</v>
      </c>
      <c r="C41" s="42">
        <f t="shared" si="48"/>
        <v>0.179245283</v>
      </c>
      <c r="D41" s="42">
        <f t="shared" si="48"/>
        <v>0.1709401709</v>
      </c>
      <c r="E41" s="42">
        <f t="shared" si="48"/>
        <v>0.1886792453</v>
      </c>
      <c r="F41" s="42">
        <f t="shared" si="48"/>
        <v>0.183046683</v>
      </c>
      <c r="G41" s="42">
        <f t="shared" si="48"/>
        <v>0.2294573643</v>
      </c>
      <c r="H41" s="42">
        <f t="shared" si="48"/>
        <v>0.2106969206</v>
      </c>
      <c r="I41" s="42">
        <f t="shared" si="48"/>
        <v>0.1940532081</v>
      </c>
      <c r="J41" s="45">
        <f t="shared" ref="J41:N41" si="49">J38/J48</f>
        <v>0.1632223246</v>
      </c>
      <c r="K41" s="45">
        <f t="shared" si="49"/>
        <v>0.1434838109</v>
      </c>
      <c r="L41" s="45">
        <f t="shared" si="49"/>
        <v>0.12302433</v>
      </c>
      <c r="M41" s="45">
        <f t="shared" si="49"/>
        <v>0.1112212577</v>
      </c>
      <c r="N41" s="45">
        <f t="shared" si="49"/>
        <v>0.1035543512</v>
      </c>
    </row>
    <row r="42" ht="15.75" customHeight="1">
      <c r="A42" s="12" t="s">
        <v>147</v>
      </c>
      <c r="B42" s="12">
        <f>+Historicals!B136</f>
        <v>3645</v>
      </c>
      <c r="C42" s="12">
        <f>+Historicals!C136</f>
        <v>3763</v>
      </c>
      <c r="D42" s="12">
        <f>+Historicals!D136</f>
        <v>3875</v>
      </c>
      <c r="E42" s="12">
        <f>+Historicals!E136</f>
        <v>3600</v>
      </c>
      <c r="F42" s="12">
        <f>+Historicals!F136</f>
        <v>3925</v>
      </c>
      <c r="G42" s="12">
        <f>+Historicals!G136</f>
        <v>2899</v>
      </c>
      <c r="H42" s="12">
        <f>+Historicals!H136</f>
        <v>5089</v>
      </c>
      <c r="I42" s="12">
        <f>+Historicals!I136</f>
        <v>5114</v>
      </c>
      <c r="J42" s="12">
        <f t="shared" ref="J42:N42" si="50">I42*(1+J43)</f>
        <v>5505.326948</v>
      </c>
      <c r="K42" s="12">
        <f t="shared" si="50"/>
        <v>5868.678527</v>
      </c>
      <c r="L42" s="12">
        <f t="shared" si="50"/>
        <v>5798.254385</v>
      </c>
      <c r="M42" s="12">
        <f t="shared" si="50"/>
        <v>6204.132191</v>
      </c>
      <c r="N42" s="12">
        <f t="shared" si="50"/>
        <v>6452.297479</v>
      </c>
      <c r="P42" s="2" t="s">
        <v>151</v>
      </c>
    </row>
    <row r="43" ht="15.75" customHeight="1">
      <c r="A43" s="41" t="s">
        <v>142</v>
      </c>
      <c r="B43" s="42" t="str">
        <f t="shared" ref="B43:I43" si="51">+IFERROR(B42/A42-1,"nm")</f>
        <v>nm</v>
      </c>
      <c r="C43" s="42">
        <f t="shared" si="51"/>
        <v>0.03237311385</v>
      </c>
      <c r="D43" s="42">
        <f t="shared" si="51"/>
        <v>0.02976348658</v>
      </c>
      <c r="E43" s="42">
        <f t="shared" si="51"/>
        <v>-0.07096774194</v>
      </c>
      <c r="F43" s="42">
        <f t="shared" si="51"/>
        <v>0.09027777778</v>
      </c>
      <c r="G43" s="42">
        <f t="shared" si="51"/>
        <v>-0.2614012739</v>
      </c>
      <c r="H43" s="42">
        <f t="shared" si="51"/>
        <v>0.7554329079</v>
      </c>
      <c r="I43" s="42">
        <f t="shared" si="51"/>
        <v>0.004912556494</v>
      </c>
      <c r="J43" s="42">
        <f>((0.96*1.21*1.23*0.94)^0.25)-1</f>
        <v>0.0765207173</v>
      </c>
      <c r="K43" s="42">
        <v>0.066</v>
      </c>
      <c r="L43" s="42">
        <v>-0.012</v>
      </c>
      <c r="M43" s="42">
        <v>0.07</v>
      </c>
      <c r="N43" s="42">
        <v>0.04</v>
      </c>
    </row>
    <row r="44" ht="15.75" customHeight="1">
      <c r="A44" s="41" t="s">
        <v>144</v>
      </c>
      <c r="B44" s="42">
        <f t="shared" ref="B44:N44" si="52">+IFERROR(B42/B$21,"nm")</f>
        <v>0.2652838428</v>
      </c>
      <c r="C44" s="42">
        <f t="shared" si="52"/>
        <v>0.2548767272</v>
      </c>
      <c r="D44" s="42">
        <f t="shared" si="52"/>
        <v>0.2546661409</v>
      </c>
      <c r="E44" s="42">
        <f t="shared" si="52"/>
        <v>0.2423426456</v>
      </c>
      <c r="F44" s="42">
        <f t="shared" si="52"/>
        <v>0.2468242988</v>
      </c>
      <c r="G44" s="42">
        <f t="shared" si="52"/>
        <v>0.2001518917</v>
      </c>
      <c r="H44" s="42">
        <f t="shared" si="52"/>
        <v>0.2962337738</v>
      </c>
      <c r="I44" s="42">
        <f t="shared" si="52"/>
        <v>0.2786465428</v>
      </c>
      <c r="J44" s="42">
        <f t="shared" si="52"/>
        <v>0.2768840424</v>
      </c>
      <c r="K44" s="42">
        <f t="shared" si="52"/>
        <v>0.2778343671</v>
      </c>
      <c r="L44" s="42">
        <f t="shared" si="52"/>
        <v>0.252668079</v>
      </c>
      <c r="M44" s="42">
        <f t="shared" si="52"/>
        <v>0.2520148613</v>
      </c>
      <c r="N44" s="42">
        <f t="shared" si="52"/>
        <v>0.2467209727</v>
      </c>
    </row>
    <row r="45" ht="15.75" customHeight="1">
      <c r="A45" s="12" t="s">
        <v>148</v>
      </c>
      <c r="B45" s="12">
        <f>+Historicals!B158</f>
        <v>208</v>
      </c>
      <c r="C45" s="12">
        <f>+Historicals!C158</f>
        <v>242</v>
      </c>
      <c r="D45" s="12">
        <f>+Historicals!D158</f>
        <v>223</v>
      </c>
      <c r="E45" s="12">
        <f>+Historicals!E158</f>
        <v>196</v>
      </c>
      <c r="F45" s="12">
        <f>+Historicals!F158</f>
        <v>117</v>
      </c>
      <c r="G45" s="12">
        <f>+Historicals!G158</f>
        <v>110</v>
      </c>
      <c r="H45" s="12">
        <f>+Historicals!H158</f>
        <v>98</v>
      </c>
      <c r="I45" s="12">
        <f>+Historicals!I158</f>
        <v>146</v>
      </c>
      <c r="J45" s="12">
        <f t="shared" ref="J45:N45" si="53">I45*(1+J46)</f>
        <v>160.6</v>
      </c>
      <c r="K45" s="12">
        <f t="shared" si="53"/>
        <v>179.872</v>
      </c>
      <c r="L45" s="12">
        <f t="shared" si="53"/>
        <v>199.65792</v>
      </c>
      <c r="M45" s="12">
        <f t="shared" si="53"/>
        <v>235.5963456</v>
      </c>
      <c r="N45" s="12">
        <f t="shared" si="53"/>
        <v>273.2917609</v>
      </c>
    </row>
    <row r="46" ht="15.75" customHeight="1">
      <c r="A46" s="41" t="s">
        <v>142</v>
      </c>
      <c r="B46" s="42" t="str">
        <f t="shared" ref="B46:I46" si="54">+IFERROR(B45/A45-1,"nm")</f>
        <v>nm</v>
      </c>
      <c r="C46" s="42">
        <f t="shared" si="54"/>
        <v>0.1634615385</v>
      </c>
      <c r="D46" s="42">
        <f t="shared" si="54"/>
        <v>-0.07851239669</v>
      </c>
      <c r="E46" s="42">
        <f t="shared" si="54"/>
        <v>-0.1210762332</v>
      </c>
      <c r="F46" s="42">
        <f t="shared" si="54"/>
        <v>-0.4030612245</v>
      </c>
      <c r="G46" s="42">
        <f t="shared" si="54"/>
        <v>-0.05982905983</v>
      </c>
      <c r="H46" s="42">
        <f t="shared" si="54"/>
        <v>-0.1090909091</v>
      </c>
      <c r="I46" s="42">
        <f t="shared" si="54"/>
        <v>0.4897959184</v>
      </c>
      <c r="J46" s="42">
        <f>0.1</f>
        <v>0.1</v>
      </c>
      <c r="K46" s="42">
        <f>0.12</f>
        <v>0.12</v>
      </c>
      <c r="L46" s="42">
        <f>0.11</f>
        <v>0.11</v>
      </c>
      <c r="M46" s="42">
        <f>0.18</f>
        <v>0.18</v>
      </c>
      <c r="N46" s="42">
        <f>0.16</f>
        <v>0.16</v>
      </c>
      <c r="P46" s="2" t="s">
        <v>160</v>
      </c>
    </row>
    <row r="47" ht="15.75" customHeight="1">
      <c r="A47" s="41" t="s">
        <v>146</v>
      </c>
      <c r="B47" s="42">
        <f t="shared" ref="B47:N47" si="55">+IFERROR(B45/B$21,"nm")</f>
        <v>0.01513828239</v>
      </c>
      <c r="C47" s="42">
        <f t="shared" si="55"/>
        <v>0.01639122189</v>
      </c>
      <c r="D47" s="42">
        <f t="shared" si="55"/>
        <v>0.01465562566</v>
      </c>
      <c r="E47" s="42">
        <f t="shared" si="55"/>
        <v>0.0131942107</v>
      </c>
      <c r="F47" s="42">
        <f t="shared" si="55"/>
        <v>0.007357565086</v>
      </c>
      <c r="G47" s="42">
        <f t="shared" si="55"/>
        <v>0.007594587131</v>
      </c>
      <c r="H47" s="42">
        <f t="shared" si="55"/>
        <v>0.005704639385</v>
      </c>
      <c r="I47" s="42">
        <f t="shared" si="55"/>
        <v>0.007955102708</v>
      </c>
      <c r="J47" s="42">
        <f t="shared" si="55"/>
        <v>0.008077190988</v>
      </c>
      <c r="K47" s="42">
        <f t="shared" si="55"/>
        <v>0.008515481475</v>
      </c>
      <c r="L47" s="42">
        <f t="shared" si="55"/>
        <v>0.008700408737</v>
      </c>
      <c r="M47" s="42">
        <f t="shared" si="55"/>
        <v>0.009570037926</v>
      </c>
      <c r="N47" s="42">
        <f t="shared" si="55"/>
        <v>0.01045004656</v>
      </c>
    </row>
    <row r="48" ht="15.75" customHeight="1">
      <c r="A48" s="12" t="s">
        <v>149</v>
      </c>
      <c r="B48" s="12">
        <f>+Historicals!B147</f>
        <v>632</v>
      </c>
      <c r="C48" s="12">
        <f>+Historicals!C147</f>
        <v>742</v>
      </c>
      <c r="D48" s="12">
        <f>+Historicals!D147</f>
        <v>819</v>
      </c>
      <c r="E48" s="12">
        <f>+Historicals!E147</f>
        <v>848</v>
      </c>
      <c r="F48" s="12">
        <f>+Historicals!F147</f>
        <v>814</v>
      </c>
      <c r="G48" s="12">
        <f>+Historicals!G147</f>
        <v>645</v>
      </c>
      <c r="H48" s="12">
        <f>+Historicals!H147</f>
        <v>617</v>
      </c>
      <c r="I48" s="12">
        <f>+Historicals!I147</f>
        <v>639</v>
      </c>
      <c r="J48" s="12">
        <f t="shared" ref="J48:N48" si="56">I48*(1+J49)</f>
        <v>683.73</v>
      </c>
      <c r="K48" s="12">
        <f t="shared" si="56"/>
        <v>735.00975</v>
      </c>
      <c r="L48" s="12">
        <f t="shared" si="56"/>
        <v>788.6654618</v>
      </c>
      <c r="M48" s="12">
        <f t="shared" si="56"/>
        <v>854.9133605</v>
      </c>
      <c r="N48" s="12">
        <f t="shared" si="56"/>
        <v>930.1457363</v>
      </c>
    </row>
    <row r="49" ht="15.75" customHeight="1">
      <c r="A49" s="41" t="s">
        <v>142</v>
      </c>
      <c r="B49" s="42" t="str">
        <f t="shared" ref="B49:I49" si="57">+IFERROR(B48/A48-1,"nm")</f>
        <v>nm</v>
      </c>
      <c r="C49" s="42">
        <f t="shared" si="57"/>
        <v>0.1740506329</v>
      </c>
      <c r="D49" s="42">
        <f t="shared" si="57"/>
        <v>0.1037735849</v>
      </c>
      <c r="E49" s="42">
        <f t="shared" si="57"/>
        <v>0.03540903541</v>
      </c>
      <c r="F49" s="42">
        <f t="shared" si="57"/>
        <v>-0.04009433962</v>
      </c>
      <c r="G49" s="42">
        <f t="shared" si="57"/>
        <v>-0.2076167076</v>
      </c>
      <c r="H49" s="42">
        <f t="shared" si="57"/>
        <v>-0.04341085271</v>
      </c>
      <c r="I49" s="42">
        <f t="shared" si="57"/>
        <v>0.03565640194</v>
      </c>
      <c r="J49" s="42">
        <f>0.07</f>
        <v>0.07</v>
      </c>
      <c r="K49" s="42">
        <f>7.5%</f>
        <v>0.075</v>
      </c>
      <c r="L49" s="42">
        <f>7.3%</f>
        <v>0.073</v>
      </c>
      <c r="M49" s="42">
        <f>8.4%</f>
        <v>0.084</v>
      </c>
      <c r="N49" s="42">
        <f>8.8%</f>
        <v>0.088</v>
      </c>
      <c r="P49" s="2" t="s">
        <v>161</v>
      </c>
    </row>
    <row r="50" ht="15.75" customHeight="1">
      <c r="A50" s="41" t="s">
        <v>146</v>
      </c>
      <c r="B50" s="42">
        <f t="shared" ref="B50:I50" si="58">+IFERROR(B48/B$21,"nm")</f>
        <v>0.04599708879</v>
      </c>
      <c r="C50" s="42">
        <f t="shared" si="58"/>
        <v>0.05025738282</v>
      </c>
      <c r="D50" s="42">
        <f t="shared" si="58"/>
        <v>0.05382492114</v>
      </c>
      <c r="E50" s="42">
        <f t="shared" si="58"/>
        <v>0.05708515651</v>
      </c>
      <c r="F50" s="42">
        <f t="shared" si="58"/>
        <v>0.05118852974</v>
      </c>
      <c r="G50" s="42">
        <f t="shared" si="58"/>
        <v>0.04453189727</v>
      </c>
      <c r="H50" s="42">
        <f t="shared" si="58"/>
        <v>0.03591594388</v>
      </c>
      <c r="I50" s="42">
        <f t="shared" si="58"/>
        <v>0.0348171961</v>
      </c>
      <c r="J50" s="45">
        <f t="shared" ref="J50:N50" si="59">J48/J21</f>
        <v>0.03438740843</v>
      </c>
      <c r="K50" s="45">
        <f t="shared" si="59"/>
        <v>0.03479675497</v>
      </c>
      <c r="L50" s="45">
        <f t="shared" si="59"/>
        <v>0.03436734127</v>
      </c>
      <c r="M50" s="45">
        <f t="shared" si="59"/>
        <v>0.03472699571</v>
      </c>
      <c r="N50" s="45">
        <f t="shared" si="59"/>
        <v>0.03556662747</v>
      </c>
    </row>
    <row r="51" ht="15.75" customHeight="1">
      <c r="A51" s="43" t="s">
        <v>117</v>
      </c>
      <c r="B51" s="43"/>
      <c r="C51" s="43"/>
      <c r="D51" s="43"/>
      <c r="E51" s="43"/>
      <c r="F51" s="43"/>
      <c r="G51" s="43"/>
      <c r="H51" s="43"/>
      <c r="I51" s="43"/>
      <c r="J51" s="39"/>
      <c r="K51" s="39"/>
      <c r="L51" s="39"/>
      <c r="M51" s="39"/>
      <c r="N51" s="39"/>
    </row>
    <row r="52" ht="15.75" customHeight="1">
      <c r="A52" s="12" t="s">
        <v>150</v>
      </c>
      <c r="B52" s="12">
        <f>Historicals!B113</f>
        <v>7126</v>
      </c>
      <c r="C52" s="12">
        <f>Historicals!C113</f>
        <v>7315</v>
      </c>
      <c r="D52" s="12">
        <f>Historicals!D113</f>
        <v>7970</v>
      </c>
      <c r="E52" s="12">
        <f>Historicals!E113</f>
        <v>9242</v>
      </c>
      <c r="F52" s="12">
        <f>Historicals!F113</f>
        <v>9812</v>
      </c>
      <c r="G52" s="12">
        <f>Historicals!G113</f>
        <v>9347</v>
      </c>
      <c r="H52" s="12">
        <f>Historicals!H113</f>
        <v>11456</v>
      </c>
      <c r="I52" s="12">
        <f>Historicals!I113</f>
        <v>12479</v>
      </c>
      <c r="J52" s="12">
        <f t="shared" ref="J52:N52" si="60">+SUM(J54+J58+J62)</f>
        <v>13045.99</v>
      </c>
      <c r="K52" s="12">
        <f t="shared" si="60"/>
        <v>13730.6368</v>
      </c>
      <c r="L52" s="12">
        <f t="shared" si="60"/>
        <v>14191.07375</v>
      </c>
      <c r="M52" s="12">
        <f t="shared" si="60"/>
        <v>14701.99822</v>
      </c>
      <c r="N52" s="12">
        <f t="shared" si="60"/>
        <v>15119.36629</v>
      </c>
      <c r="O52" s="2" t="s">
        <v>162</v>
      </c>
    </row>
    <row r="53" ht="15.75" customHeight="1">
      <c r="A53" s="41" t="s">
        <v>142</v>
      </c>
      <c r="B53" s="42" t="str">
        <f t="shared" ref="B53:N53" si="61">+IFERROR(B52/A52-1,"nm")</f>
        <v>nm</v>
      </c>
      <c r="C53" s="42">
        <f t="shared" si="61"/>
        <v>0.02652259332</v>
      </c>
      <c r="D53" s="42">
        <f t="shared" si="61"/>
        <v>0.08954203691</v>
      </c>
      <c r="E53" s="42">
        <f t="shared" si="61"/>
        <v>0.1595984944</v>
      </c>
      <c r="F53" s="42">
        <f t="shared" si="61"/>
        <v>0.06167496213</v>
      </c>
      <c r="G53" s="42">
        <f t="shared" si="61"/>
        <v>-0.04739094986</v>
      </c>
      <c r="H53" s="42">
        <f t="shared" si="61"/>
        <v>0.2256338932</v>
      </c>
      <c r="I53" s="42">
        <f t="shared" si="61"/>
        <v>0.08929818436</v>
      </c>
      <c r="J53" s="42">
        <f t="shared" si="61"/>
        <v>0.04543553169</v>
      </c>
      <c r="K53" s="42">
        <f t="shared" si="61"/>
        <v>0.0524794822</v>
      </c>
      <c r="L53" s="42">
        <f t="shared" si="61"/>
        <v>0.03353354688</v>
      </c>
      <c r="M53" s="42">
        <f t="shared" si="61"/>
        <v>0.03600322794</v>
      </c>
      <c r="N53" s="42">
        <f t="shared" si="61"/>
        <v>0.02838852718</v>
      </c>
      <c r="P53" s="2" t="s">
        <v>151</v>
      </c>
    </row>
    <row r="54" ht="15.75" customHeight="1">
      <c r="A54" s="44" t="s">
        <v>114</v>
      </c>
      <c r="B54" s="9">
        <f>Historicals!B114</f>
        <v>4703</v>
      </c>
      <c r="C54" s="9">
        <f>Historicals!C114</f>
        <v>4867</v>
      </c>
      <c r="D54" s="9">
        <f>Historicals!D114</f>
        <v>5192</v>
      </c>
      <c r="E54" s="9">
        <f>Historicals!E114</f>
        <v>5875</v>
      </c>
      <c r="F54" s="9">
        <f>Historicals!F114</f>
        <v>6293</v>
      </c>
      <c r="G54" s="9">
        <f>Historicals!G114</f>
        <v>5892</v>
      </c>
      <c r="H54" s="9">
        <f>Historicals!H114</f>
        <v>6970</v>
      </c>
      <c r="I54" s="9">
        <f>Historicals!I114</f>
        <v>7388</v>
      </c>
      <c r="J54" s="9">
        <f t="shared" ref="J54:N54" si="62">+I54*(1+J55)</f>
        <v>7683.52</v>
      </c>
      <c r="K54" s="9">
        <f t="shared" si="62"/>
        <v>8144.5312</v>
      </c>
      <c r="L54" s="9">
        <f t="shared" si="62"/>
        <v>8307.421824</v>
      </c>
      <c r="M54" s="9">
        <f t="shared" si="62"/>
        <v>8540.029635</v>
      </c>
      <c r="N54" s="9">
        <f t="shared" si="62"/>
        <v>8796.230524</v>
      </c>
    </row>
    <row r="55" ht="15.75" customHeight="1">
      <c r="A55" s="41" t="s">
        <v>142</v>
      </c>
      <c r="B55" s="42" t="str">
        <f t="shared" ref="B55:I55" si="63">+IFERROR(B54/A54-1,"nm")</f>
        <v>nm</v>
      </c>
      <c r="C55" s="42">
        <f t="shared" si="63"/>
        <v>0.03487135871</v>
      </c>
      <c r="D55" s="42">
        <f t="shared" si="63"/>
        <v>0.0667762482</v>
      </c>
      <c r="E55" s="42">
        <f t="shared" si="63"/>
        <v>0.1315485362</v>
      </c>
      <c r="F55" s="42">
        <f t="shared" si="63"/>
        <v>0.07114893617</v>
      </c>
      <c r="G55" s="42">
        <f t="shared" si="63"/>
        <v>-0.06372159542</v>
      </c>
      <c r="H55" s="42">
        <f t="shared" si="63"/>
        <v>0.1829599457</v>
      </c>
      <c r="I55" s="42">
        <f t="shared" si="63"/>
        <v>0.0599713056</v>
      </c>
      <c r="J55" s="42">
        <f t="shared" ref="J55:N55" si="64">+J56+J57</f>
        <v>0.04</v>
      </c>
      <c r="K55" s="42">
        <f t="shared" si="64"/>
        <v>0.06</v>
      </c>
      <c r="L55" s="42">
        <f t="shared" si="64"/>
        <v>0.02</v>
      </c>
      <c r="M55" s="42">
        <f t="shared" si="64"/>
        <v>0.028</v>
      </c>
      <c r="N55" s="42">
        <f t="shared" si="64"/>
        <v>0.03</v>
      </c>
    </row>
    <row r="56" ht="15.75" customHeight="1">
      <c r="A56" s="41" t="s">
        <v>153</v>
      </c>
      <c r="B56" s="42">
        <f>Historicals!B186</f>
        <v>0.47</v>
      </c>
      <c r="C56" s="42">
        <f>Historicals!C186</f>
        <v>0.37</v>
      </c>
      <c r="D56" s="42">
        <f>Historicals!D186</f>
        <v>0.16</v>
      </c>
      <c r="E56" s="42">
        <f>Historicals!E186</f>
        <v>0.06</v>
      </c>
      <c r="F56" s="42">
        <f>Historicals!F186</f>
        <v>0.12</v>
      </c>
      <c r="G56" s="42">
        <f>Historicals!G186</f>
        <v>-0.03</v>
      </c>
      <c r="H56" s="42">
        <f>Historicals!H186</f>
        <v>0.13</v>
      </c>
      <c r="I56" s="42">
        <f>Historicals!I186</f>
        <v>0.09</v>
      </c>
      <c r="J56" s="45">
        <v>0.04</v>
      </c>
      <c r="K56" s="45">
        <v>0.06</v>
      </c>
      <c r="L56" s="45">
        <v>0.02</v>
      </c>
      <c r="M56" s="45">
        <v>0.028</v>
      </c>
      <c r="N56" s="45">
        <v>0.03</v>
      </c>
    </row>
    <row r="57" ht="15.75" customHeight="1">
      <c r="A57" s="41" t="s">
        <v>154</v>
      </c>
      <c r="B57" s="42" t="str">
        <f t="shared" ref="B57:I57" si="65">+IFERROR(B55-B56,"nm")</f>
        <v>nm</v>
      </c>
      <c r="C57" s="42">
        <f t="shared" si="65"/>
        <v>-0.3351286413</v>
      </c>
      <c r="D57" s="42">
        <f t="shared" si="65"/>
        <v>-0.0932237518</v>
      </c>
      <c r="E57" s="42">
        <f t="shared" si="65"/>
        <v>0.07154853621</v>
      </c>
      <c r="F57" s="42">
        <f t="shared" si="65"/>
        <v>-0.04885106383</v>
      </c>
      <c r="G57" s="42">
        <f t="shared" si="65"/>
        <v>-0.03372159542</v>
      </c>
      <c r="H57" s="42">
        <f t="shared" si="65"/>
        <v>0.05295994569</v>
      </c>
      <c r="I57" s="42">
        <f t="shared" si="65"/>
        <v>-0.0300286944</v>
      </c>
      <c r="J57" s="45">
        <v>0.0</v>
      </c>
      <c r="K57" s="45">
        <v>0.0</v>
      </c>
      <c r="L57" s="45">
        <v>0.0</v>
      </c>
      <c r="M57" s="45">
        <v>0.0</v>
      </c>
      <c r="N57" s="45">
        <v>0.0</v>
      </c>
    </row>
    <row r="58" ht="15.75" customHeight="1">
      <c r="A58" s="44" t="s">
        <v>115</v>
      </c>
      <c r="B58" s="9">
        <f>Historicals!B115</f>
        <v>2051</v>
      </c>
      <c r="C58" s="9">
        <f>Historicals!C115</f>
        <v>2091</v>
      </c>
      <c r="D58" s="9">
        <f>Historicals!D115</f>
        <v>2395</v>
      </c>
      <c r="E58" s="9">
        <f>Historicals!E115</f>
        <v>2940</v>
      </c>
      <c r="F58" s="9">
        <f>Historicals!F115</f>
        <v>3087</v>
      </c>
      <c r="G58" s="9">
        <f>Historicals!G115</f>
        <v>3053</v>
      </c>
      <c r="H58" s="9">
        <f>Historicals!H115</f>
        <v>3996</v>
      </c>
      <c r="I58" s="9">
        <f>Historicals!I115</f>
        <v>4527</v>
      </c>
      <c r="J58" s="9">
        <f t="shared" ref="J58:N58" si="66">+I58*(1+J59)</f>
        <v>4753.35</v>
      </c>
      <c r="K58" s="9">
        <f t="shared" si="66"/>
        <v>4943.484</v>
      </c>
      <c r="L58" s="9">
        <f t="shared" si="66"/>
        <v>5200.545168</v>
      </c>
      <c r="M58" s="9">
        <f t="shared" si="66"/>
        <v>5450.171336</v>
      </c>
      <c r="N58" s="9">
        <f t="shared" si="66"/>
        <v>5586.425619</v>
      </c>
    </row>
    <row r="59" ht="15.75" customHeight="1">
      <c r="A59" s="41" t="s">
        <v>142</v>
      </c>
      <c r="B59" s="42" t="str">
        <f t="shared" ref="B59:I59" si="67">+IFERROR(B58/A58-1,"nm")</f>
        <v>nm</v>
      </c>
      <c r="C59" s="42">
        <f t="shared" si="67"/>
        <v>0.01950268162</v>
      </c>
      <c r="D59" s="42">
        <f t="shared" si="67"/>
        <v>0.1453849833</v>
      </c>
      <c r="E59" s="42">
        <f t="shared" si="67"/>
        <v>0.2275574113</v>
      </c>
      <c r="F59" s="42">
        <f t="shared" si="67"/>
        <v>0.05</v>
      </c>
      <c r="G59" s="42">
        <f t="shared" si="67"/>
        <v>-0.01101392938</v>
      </c>
      <c r="H59" s="42">
        <f t="shared" si="67"/>
        <v>0.3088765149</v>
      </c>
      <c r="I59" s="42">
        <f t="shared" si="67"/>
        <v>0.1328828829</v>
      </c>
      <c r="J59" s="42">
        <f t="shared" ref="J59:N59" si="68">+J60+J61</f>
        <v>0.05</v>
      </c>
      <c r="K59" s="42">
        <f t="shared" si="68"/>
        <v>0.04</v>
      </c>
      <c r="L59" s="42">
        <f t="shared" si="68"/>
        <v>0.052</v>
      </c>
      <c r="M59" s="42">
        <f t="shared" si="68"/>
        <v>0.048</v>
      </c>
      <c r="N59" s="42">
        <f t="shared" si="68"/>
        <v>0.025</v>
      </c>
      <c r="P59" s="2" t="s">
        <v>163</v>
      </c>
    </row>
    <row r="60" ht="15.75" customHeight="1">
      <c r="A60" s="41" t="s">
        <v>153</v>
      </c>
      <c r="B60" s="42">
        <f>Historicals!B187</f>
        <v>0.19</v>
      </c>
      <c r="C60" s="42">
        <f>Historicals!C187</f>
        <v>0.25</v>
      </c>
      <c r="D60" s="42">
        <f>Historicals!D187</f>
        <v>0.25</v>
      </c>
      <c r="E60" s="42">
        <f>Historicals!E187</f>
        <v>0.16</v>
      </c>
      <c r="F60" s="42">
        <f>Historicals!F187</f>
        <v>0.09</v>
      </c>
      <c r="G60" s="42">
        <f>Historicals!G187</f>
        <v>0.02</v>
      </c>
      <c r="H60" s="42">
        <f>Historicals!H187</f>
        <v>0.25</v>
      </c>
      <c r="I60" s="42">
        <f>Historicals!I187</f>
        <v>0.16</v>
      </c>
      <c r="J60" s="45">
        <v>0.05</v>
      </c>
      <c r="K60" s="45">
        <v>0.04</v>
      </c>
      <c r="L60" s="45">
        <v>0.052</v>
      </c>
      <c r="M60" s="45">
        <v>0.048</v>
      </c>
      <c r="N60" s="45">
        <v>0.025</v>
      </c>
    </row>
    <row r="61" ht="15.75" customHeight="1">
      <c r="A61" s="41" t="s">
        <v>154</v>
      </c>
      <c r="B61" s="42" t="str">
        <f t="shared" ref="B61:I61" si="69">+IFERROR(B59-B60,"nm")</f>
        <v>nm</v>
      </c>
      <c r="C61" s="42">
        <f t="shared" si="69"/>
        <v>-0.2304973184</v>
      </c>
      <c r="D61" s="42">
        <f t="shared" si="69"/>
        <v>-0.1046150167</v>
      </c>
      <c r="E61" s="42">
        <f t="shared" si="69"/>
        <v>0.06755741127</v>
      </c>
      <c r="F61" s="42">
        <f t="shared" si="69"/>
        <v>-0.04</v>
      </c>
      <c r="G61" s="42">
        <f t="shared" si="69"/>
        <v>-0.03101392938</v>
      </c>
      <c r="H61" s="42">
        <f t="shared" si="69"/>
        <v>0.0588765149</v>
      </c>
      <c r="I61" s="42">
        <f t="shared" si="69"/>
        <v>-0.02711711712</v>
      </c>
      <c r="J61" s="45">
        <v>0.0</v>
      </c>
      <c r="K61" s="45">
        <v>0.0</v>
      </c>
      <c r="L61" s="45">
        <v>0.0</v>
      </c>
      <c r="M61" s="45">
        <v>0.0</v>
      </c>
      <c r="N61" s="45">
        <v>0.0</v>
      </c>
    </row>
    <row r="62" ht="15.75" customHeight="1">
      <c r="A62" s="44" t="s">
        <v>116</v>
      </c>
      <c r="B62" s="9">
        <f>Historicals!B116</f>
        <v>372</v>
      </c>
      <c r="C62" s="9">
        <f>Historicals!C116</f>
        <v>357</v>
      </c>
      <c r="D62" s="9">
        <f>Historicals!D116</f>
        <v>383</v>
      </c>
      <c r="E62" s="9">
        <f>Historicals!E116</f>
        <v>427</v>
      </c>
      <c r="F62" s="9">
        <f>Historicals!F116</f>
        <v>432</v>
      </c>
      <c r="G62" s="9">
        <f>Historicals!G116</f>
        <v>402</v>
      </c>
      <c r="H62" s="9">
        <f>Historicals!H116</f>
        <v>490</v>
      </c>
      <c r="I62" s="9">
        <f>Historicals!I116</f>
        <v>564</v>
      </c>
      <c r="J62" s="9">
        <f t="shared" ref="J62:N62" si="70">+I62*(1+J63)</f>
        <v>609.12</v>
      </c>
      <c r="K62" s="9">
        <f t="shared" si="70"/>
        <v>642.6216</v>
      </c>
      <c r="L62" s="9">
        <f t="shared" si="70"/>
        <v>683.1067608</v>
      </c>
      <c r="M62" s="9">
        <f t="shared" si="70"/>
        <v>711.7972448</v>
      </c>
      <c r="N62" s="9">
        <f t="shared" si="70"/>
        <v>736.7101483</v>
      </c>
    </row>
    <row r="63" ht="15.75" customHeight="1">
      <c r="A63" s="41" t="s">
        <v>142</v>
      </c>
      <c r="B63" s="42" t="str">
        <f t="shared" ref="B63:I63" si="71">+IFERROR(B62/A62-1,"nm")</f>
        <v>nm</v>
      </c>
      <c r="C63" s="42">
        <f t="shared" si="71"/>
        <v>-0.04032258065</v>
      </c>
      <c r="D63" s="42">
        <f t="shared" si="71"/>
        <v>0.07282913165</v>
      </c>
      <c r="E63" s="42">
        <f t="shared" si="71"/>
        <v>0.1148825065</v>
      </c>
      <c r="F63" s="42">
        <f t="shared" si="71"/>
        <v>0.01170960187</v>
      </c>
      <c r="G63" s="42">
        <f t="shared" si="71"/>
        <v>-0.06944444444</v>
      </c>
      <c r="H63" s="42">
        <f t="shared" si="71"/>
        <v>0.2189054726</v>
      </c>
      <c r="I63" s="42">
        <f t="shared" si="71"/>
        <v>0.1510204082</v>
      </c>
      <c r="J63" s="42">
        <f t="shared" ref="J63:N63" si="72">+J64+J65</f>
        <v>0.08</v>
      </c>
      <c r="K63" s="42">
        <f t="shared" si="72"/>
        <v>0.055</v>
      </c>
      <c r="L63" s="42">
        <f t="shared" si="72"/>
        <v>0.063</v>
      </c>
      <c r="M63" s="42">
        <f t="shared" si="72"/>
        <v>0.042</v>
      </c>
      <c r="N63" s="42">
        <f t="shared" si="72"/>
        <v>0.035</v>
      </c>
      <c r="P63" s="2" t="s">
        <v>164</v>
      </c>
    </row>
    <row r="64" ht="15.75" customHeight="1">
      <c r="A64" s="41" t="s">
        <v>153</v>
      </c>
      <c r="B64" s="42">
        <f>Historicals!B188</f>
        <v>0.19</v>
      </c>
      <c r="C64" s="42">
        <f>Historicals!C188</f>
        <v>0.15</v>
      </c>
      <c r="D64" s="42">
        <f>Historicals!D188</f>
        <v>0.13</v>
      </c>
      <c r="E64" s="42">
        <f>Historicals!E188</f>
        <v>0.06</v>
      </c>
      <c r="F64" s="42">
        <f>Historicals!F188</f>
        <v>0.05</v>
      </c>
      <c r="G64" s="42">
        <f>Historicals!G188</f>
        <v>-0.03</v>
      </c>
      <c r="H64" s="42">
        <f>Historicals!H188</f>
        <v>0.19</v>
      </c>
      <c r="I64" s="42">
        <f>Historicals!I188</f>
        <v>0.17</v>
      </c>
      <c r="J64" s="45">
        <v>0.08</v>
      </c>
      <c r="K64" s="45">
        <v>0.055</v>
      </c>
      <c r="L64" s="45">
        <v>0.063</v>
      </c>
      <c r="M64" s="45">
        <v>0.042</v>
      </c>
      <c r="N64" s="45">
        <v>0.035</v>
      </c>
    </row>
    <row r="65" ht="15.75" customHeight="1">
      <c r="A65" s="41" t="s">
        <v>154</v>
      </c>
      <c r="B65" s="42" t="str">
        <f t="shared" ref="B65:I65" si="73">+IFERROR(B63-B64,"nm")</f>
        <v>nm</v>
      </c>
      <c r="C65" s="42">
        <f t="shared" si="73"/>
        <v>-0.1903225806</v>
      </c>
      <c r="D65" s="42">
        <f t="shared" si="73"/>
        <v>-0.05717086835</v>
      </c>
      <c r="E65" s="42">
        <f t="shared" si="73"/>
        <v>0.05488250653</v>
      </c>
      <c r="F65" s="42">
        <f t="shared" si="73"/>
        <v>-0.03829039813</v>
      </c>
      <c r="G65" s="42">
        <f t="shared" si="73"/>
        <v>-0.03944444444</v>
      </c>
      <c r="H65" s="42">
        <f t="shared" si="73"/>
        <v>0.02890547264</v>
      </c>
      <c r="I65" s="42">
        <f t="shared" si="73"/>
        <v>-0.01897959184</v>
      </c>
      <c r="J65" s="45">
        <v>0.0</v>
      </c>
      <c r="K65" s="45">
        <v>0.0</v>
      </c>
      <c r="L65" s="45">
        <v>0.0</v>
      </c>
      <c r="M65" s="45">
        <v>0.0</v>
      </c>
      <c r="N65" s="45">
        <v>0.0</v>
      </c>
    </row>
    <row r="66" ht="15.75" customHeight="1">
      <c r="A66" s="12" t="s">
        <v>143</v>
      </c>
      <c r="B66" s="12">
        <f t="shared" ref="B66:I66" si="74">B69+B73</f>
        <v>1611</v>
      </c>
      <c r="C66" s="12">
        <f t="shared" si="74"/>
        <v>1871</v>
      </c>
      <c r="D66" s="12">
        <f t="shared" si="74"/>
        <v>1611</v>
      </c>
      <c r="E66" s="12">
        <f t="shared" si="74"/>
        <v>1703</v>
      </c>
      <c r="F66" s="12">
        <f t="shared" si="74"/>
        <v>2106</v>
      </c>
      <c r="G66" s="12">
        <f t="shared" si="74"/>
        <v>1673</v>
      </c>
      <c r="H66" s="12">
        <f t="shared" si="74"/>
        <v>2571</v>
      </c>
      <c r="I66" s="12">
        <f t="shared" si="74"/>
        <v>3427</v>
      </c>
      <c r="J66" s="12">
        <f t="shared" ref="J66:N66" si="75">J68*J52</f>
        <v>3652.8772</v>
      </c>
      <c r="K66" s="12">
        <f t="shared" si="75"/>
        <v>3473.85111</v>
      </c>
      <c r="L66" s="12">
        <f t="shared" si="75"/>
        <v>3405.857701</v>
      </c>
      <c r="M66" s="12">
        <f t="shared" si="75"/>
        <v>3675.499554</v>
      </c>
      <c r="N66" s="12">
        <f t="shared" si="75"/>
        <v>3598.409177</v>
      </c>
    </row>
    <row r="67" ht="15.75" customHeight="1">
      <c r="A67" s="41" t="s">
        <v>142</v>
      </c>
      <c r="B67" s="42" t="str">
        <f t="shared" ref="B67:I67" si="76">+IFERROR(B66/A66-1,"nm")</f>
        <v>nm</v>
      </c>
      <c r="C67" s="42">
        <f t="shared" si="76"/>
        <v>0.1613904407</v>
      </c>
      <c r="D67" s="42">
        <f t="shared" si="76"/>
        <v>-0.1389631213</v>
      </c>
      <c r="E67" s="42">
        <f t="shared" si="76"/>
        <v>0.05710738672</v>
      </c>
      <c r="F67" s="42">
        <f t="shared" si="76"/>
        <v>0.2366412214</v>
      </c>
      <c r="G67" s="42">
        <f t="shared" si="76"/>
        <v>-0.2056030389</v>
      </c>
      <c r="H67" s="42">
        <f t="shared" si="76"/>
        <v>0.5367603108</v>
      </c>
      <c r="I67" s="42">
        <f t="shared" si="76"/>
        <v>0.3329443796</v>
      </c>
      <c r="J67" s="42">
        <f t="shared" ref="J67:N67" si="77">(J66-I66)/I66</f>
        <v>0.06591105924</v>
      </c>
      <c r="K67" s="42">
        <f t="shared" si="77"/>
        <v>-0.04900961073</v>
      </c>
      <c r="L67" s="42">
        <f t="shared" si="77"/>
        <v>-0.01957291996</v>
      </c>
      <c r="M67" s="42">
        <f t="shared" si="77"/>
        <v>0.07917002911</v>
      </c>
      <c r="N67" s="42">
        <f t="shared" si="77"/>
        <v>-0.02097412212</v>
      </c>
    </row>
    <row r="68" ht="15.75" customHeight="1">
      <c r="A68" s="41" t="s">
        <v>144</v>
      </c>
      <c r="B68" s="42">
        <f t="shared" ref="B68:I68" si="78">+IFERROR(B66/B$52,"nm")</f>
        <v>0.2260735335</v>
      </c>
      <c r="C68" s="42">
        <f t="shared" si="78"/>
        <v>0.2557758031</v>
      </c>
      <c r="D68" s="42">
        <f t="shared" si="78"/>
        <v>0.2021329987</v>
      </c>
      <c r="E68" s="42">
        <f t="shared" si="78"/>
        <v>0.1842674746</v>
      </c>
      <c r="F68" s="42">
        <f t="shared" si="78"/>
        <v>0.2146351406</v>
      </c>
      <c r="G68" s="42">
        <f t="shared" si="78"/>
        <v>0.1789879106</v>
      </c>
      <c r="H68" s="42">
        <f t="shared" si="78"/>
        <v>0.2244238827</v>
      </c>
      <c r="I68" s="42">
        <f t="shared" si="78"/>
        <v>0.2746213639</v>
      </c>
      <c r="J68" s="42">
        <f>28%</f>
        <v>0.28</v>
      </c>
      <c r="K68" s="42">
        <f>25.3%</f>
        <v>0.253</v>
      </c>
      <c r="L68" s="42">
        <v>0.24</v>
      </c>
      <c r="M68" s="42">
        <v>0.25</v>
      </c>
      <c r="N68" s="42">
        <v>0.238</v>
      </c>
    </row>
    <row r="69" ht="15.75" customHeight="1">
      <c r="A69" s="12" t="s">
        <v>145</v>
      </c>
      <c r="B69" s="12">
        <f>Historicals!B170</f>
        <v>87</v>
      </c>
      <c r="C69" s="12">
        <f>Historicals!C170</f>
        <v>84</v>
      </c>
      <c r="D69" s="12">
        <f>Historicals!D170</f>
        <v>104</v>
      </c>
      <c r="E69" s="12">
        <f>Historicals!E170</f>
        <v>116</v>
      </c>
      <c r="F69" s="12">
        <f>Historicals!F170</f>
        <v>111</v>
      </c>
      <c r="G69" s="12">
        <f>Historicals!G170</f>
        <v>132</v>
      </c>
      <c r="H69" s="12">
        <f>Historicals!H170</f>
        <v>136</v>
      </c>
      <c r="I69" s="12">
        <f>Historicals!I170</f>
        <v>134</v>
      </c>
      <c r="J69" s="12">
        <f t="shared" ref="J69:N69" si="79">I69*(1+J70)</f>
        <v>136.68</v>
      </c>
      <c r="K69" s="12">
        <f t="shared" si="79"/>
        <v>138.45684</v>
      </c>
      <c r="L69" s="12">
        <f t="shared" si="79"/>
        <v>140.3952358</v>
      </c>
      <c r="M69" s="12">
        <f t="shared" si="79"/>
        <v>143.0627452</v>
      </c>
      <c r="N69" s="12">
        <f t="shared" si="79"/>
        <v>143.0627452</v>
      </c>
    </row>
    <row r="70" ht="15.75" customHeight="1">
      <c r="A70" s="41" t="s">
        <v>142</v>
      </c>
      <c r="B70" s="42" t="str">
        <f t="shared" ref="B70:I70" si="80">+IFERROR(B69/A69-1,"nm")</f>
        <v>nm</v>
      </c>
      <c r="C70" s="42">
        <f t="shared" si="80"/>
        <v>-0.03448275862</v>
      </c>
      <c r="D70" s="42">
        <f t="shared" si="80"/>
        <v>0.2380952381</v>
      </c>
      <c r="E70" s="42">
        <f t="shared" si="80"/>
        <v>0.1153846154</v>
      </c>
      <c r="F70" s="42">
        <f t="shared" si="80"/>
        <v>-0.04310344828</v>
      </c>
      <c r="G70" s="42">
        <f t="shared" si="80"/>
        <v>0.1891891892</v>
      </c>
      <c r="H70" s="42">
        <f t="shared" si="80"/>
        <v>0.0303030303</v>
      </c>
      <c r="I70" s="42">
        <f t="shared" si="80"/>
        <v>-0.01470588235</v>
      </c>
      <c r="J70" s="42">
        <f>0.02</f>
        <v>0.02</v>
      </c>
      <c r="K70" s="42">
        <v>0.013</v>
      </c>
      <c r="L70" s="42">
        <v>0.014</v>
      </c>
      <c r="M70" s="42">
        <v>0.019</v>
      </c>
      <c r="N70" s="42">
        <v>0.0</v>
      </c>
      <c r="P70" s="2" t="s">
        <v>165</v>
      </c>
    </row>
    <row r="71" ht="15.75" customHeight="1">
      <c r="A71" s="41" t="s">
        <v>146</v>
      </c>
      <c r="B71" s="42">
        <f t="shared" ref="B71:I71" si="81">+IFERROR(B69/B$52,"nm")</f>
        <v>0.0122088128</v>
      </c>
      <c r="C71" s="42">
        <f t="shared" si="81"/>
        <v>0.01148325359</v>
      </c>
      <c r="D71" s="42">
        <f t="shared" si="81"/>
        <v>0.0130489335</v>
      </c>
      <c r="E71" s="42">
        <f t="shared" si="81"/>
        <v>0.0125513958</v>
      </c>
      <c r="F71" s="42">
        <f t="shared" si="81"/>
        <v>0.01131267835</v>
      </c>
      <c r="G71" s="42">
        <f t="shared" si="81"/>
        <v>0.01412217824</v>
      </c>
      <c r="H71" s="42">
        <f t="shared" si="81"/>
        <v>0.01187150838</v>
      </c>
      <c r="I71" s="42">
        <f t="shared" si="81"/>
        <v>0.01073803991</v>
      </c>
      <c r="J71" s="42">
        <f>+IFERROR(J69/J52,"nm")</f>
        <v>0.01047678252</v>
      </c>
      <c r="K71" s="42">
        <f t="shared" ref="K71:N71" si="82">+IFERROR(K69/K$21,"nm")</f>
        <v>0.006554809287</v>
      </c>
      <c r="L71" s="42">
        <f t="shared" si="82"/>
        <v>0.00611794381</v>
      </c>
      <c r="M71" s="42">
        <f t="shared" si="82"/>
        <v>0.00581127816</v>
      </c>
      <c r="N71" s="42">
        <f t="shared" si="82"/>
        <v>0.005470389388</v>
      </c>
    </row>
    <row r="72" ht="15.75" customHeight="1">
      <c r="A72" s="41" t="s">
        <v>159</v>
      </c>
      <c r="B72" s="42">
        <f t="shared" ref="B72:I72" si="83">+IFERROR(B69/B79,"nm")</f>
        <v>0.1746987952</v>
      </c>
      <c r="C72" s="42">
        <f t="shared" si="83"/>
        <v>0.1314553991</v>
      </c>
      <c r="D72" s="42">
        <f t="shared" si="83"/>
        <v>0.1473087819</v>
      </c>
      <c r="E72" s="42">
        <f t="shared" si="83"/>
        <v>0.136631331</v>
      </c>
      <c r="F72" s="42">
        <f t="shared" si="83"/>
        <v>0.1194833154</v>
      </c>
      <c r="G72" s="42">
        <f t="shared" si="83"/>
        <v>0.1491525424</v>
      </c>
      <c r="H72" s="42">
        <f t="shared" si="83"/>
        <v>0.1384928717</v>
      </c>
      <c r="I72" s="42">
        <f t="shared" si="83"/>
        <v>0.1456521739</v>
      </c>
      <c r="J72" s="45">
        <f t="shared" ref="J72:N72" si="84">J69/J79</f>
        <v>0.1456521739</v>
      </c>
      <c r="K72" s="45">
        <f t="shared" si="84"/>
        <v>0.1418708194</v>
      </c>
      <c r="L72" s="45">
        <f t="shared" si="84"/>
        <v>0.1385905692</v>
      </c>
      <c r="M72" s="45">
        <f t="shared" si="84"/>
        <v>0.1380486706</v>
      </c>
      <c r="N72" s="45">
        <f t="shared" si="84"/>
        <v>0.1364117299</v>
      </c>
    </row>
    <row r="73" ht="15.75" customHeight="1">
      <c r="A73" s="12" t="s">
        <v>147</v>
      </c>
      <c r="B73" s="12">
        <f>Historicals!B137</f>
        <v>1524</v>
      </c>
      <c r="C73" s="12">
        <f>Historicals!C137</f>
        <v>1787</v>
      </c>
      <c r="D73" s="12">
        <f>Historicals!D137</f>
        <v>1507</v>
      </c>
      <c r="E73" s="12">
        <f>Historicals!E137</f>
        <v>1587</v>
      </c>
      <c r="F73" s="12">
        <f>Historicals!F137</f>
        <v>1995</v>
      </c>
      <c r="G73" s="12">
        <f>Historicals!G137</f>
        <v>1541</v>
      </c>
      <c r="H73" s="12">
        <f>Historicals!H137</f>
        <v>2435</v>
      </c>
      <c r="I73" s="12">
        <f>Historicals!I137</f>
        <v>3293</v>
      </c>
      <c r="J73" s="12">
        <f t="shared" ref="J73:N73" si="85">I73*(1+J74)</f>
        <v>3520.681496</v>
      </c>
      <c r="K73" s="12">
        <f t="shared" si="85"/>
        <v>3805.856697</v>
      </c>
      <c r="L73" s="12">
        <f t="shared" si="85"/>
        <v>4091.295949</v>
      </c>
      <c r="M73" s="12">
        <f t="shared" si="85"/>
        <v>4512.699432</v>
      </c>
      <c r="N73" s="12">
        <f t="shared" si="85"/>
        <v>4878.228086</v>
      </c>
    </row>
    <row r="74" ht="15.75" customHeight="1">
      <c r="A74" s="41" t="s">
        <v>142</v>
      </c>
      <c r="B74" s="42" t="str">
        <f t="shared" ref="B74:I74" si="86">+IFERROR(B73/A73-1,"nm")</f>
        <v>nm</v>
      </c>
      <c r="C74" s="42">
        <f t="shared" si="86"/>
        <v>0.1725721785</v>
      </c>
      <c r="D74" s="42">
        <f t="shared" si="86"/>
        <v>-0.1566871852</v>
      </c>
      <c r="E74" s="42">
        <f t="shared" si="86"/>
        <v>0.05308560053</v>
      </c>
      <c r="F74" s="42">
        <f t="shared" si="86"/>
        <v>0.2570888469</v>
      </c>
      <c r="G74" s="42">
        <f t="shared" si="86"/>
        <v>-0.2275689223</v>
      </c>
      <c r="H74" s="42">
        <f t="shared" si="86"/>
        <v>0.5801427644</v>
      </c>
      <c r="I74" s="42">
        <f t="shared" si="86"/>
        <v>0.3523613963</v>
      </c>
      <c r="J74" s="42">
        <f>((1.11*1.23*1.1*0.87)^0.25)-1</f>
        <v>0.06914105557</v>
      </c>
      <c r="K74" s="42">
        <v>0.081</v>
      </c>
      <c r="L74" s="42">
        <v>0.075</v>
      </c>
      <c r="M74" s="42">
        <v>0.103</v>
      </c>
      <c r="N74" s="42">
        <v>0.081</v>
      </c>
      <c r="P74" s="2" t="s">
        <v>151</v>
      </c>
    </row>
    <row r="75" ht="15.75" customHeight="1">
      <c r="A75" s="41" t="s">
        <v>144</v>
      </c>
      <c r="B75" s="42">
        <f t="shared" ref="B75:I75" si="87">+IFERROR(B73/B$52,"nm")</f>
        <v>0.2138647207</v>
      </c>
      <c r="C75" s="42">
        <f t="shared" si="87"/>
        <v>0.2442925496</v>
      </c>
      <c r="D75" s="42">
        <f t="shared" si="87"/>
        <v>0.1890840652</v>
      </c>
      <c r="E75" s="42">
        <f t="shared" si="87"/>
        <v>0.1717160788</v>
      </c>
      <c r="F75" s="42">
        <f t="shared" si="87"/>
        <v>0.2033224623</v>
      </c>
      <c r="G75" s="42">
        <f t="shared" si="87"/>
        <v>0.1648657323</v>
      </c>
      <c r="H75" s="42">
        <f t="shared" si="87"/>
        <v>0.2125523743</v>
      </c>
      <c r="I75" s="42">
        <f t="shared" si="87"/>
        <v>0.263883324</v>
      </c>
      <c r="J75" s="42">
        <f t="shared" ref="J75:N75" si="88">J73/J52</f>
        <v>0.2698669473</v>
      </c>
      <c r="K75" s="42">
        <f t="shared" si="88"/>
        <v>0.2771799118</v>
      </c>
      <c r="L75" s="42">
        <f t="shared" si="88"/>
        <v>0.2883006614</v>
      </c>
      <c r="M75" s="42">
        <f t="shared" si="88"/>
        <v>0.306944632</v>
      </c>
      <c r="N75" s="42">
        <f t="shared" si="88"/>
        <v>0.3226476555</v>
      </c>
    </row>
    <row r="76" ht="15.75" customHeight="1">
      <c r="A76" s="12" t="s">
        <v>148</v>
      </c>
      <c r="B76" s="12">
        <f>Historicals!B159</f>
        <v>236</v>
      </c>
      <c r="C76" s="12">
        <f>Historicals!C159</f>
        <v>232</v>
      </c>
      <c r="D76" s="12">
        <f>Historicals!D159</f>
        <v>172</v>
      </c>
      <c r="E76" s="12">
        <f>Historicals!E159</f>
        <v>240</v>
      </c>
      <c r="F76" s="12">
        <f>Historicals!F159</f>
        <v>233</v>
      </c>
      <c r="G76" s="12">
        <f>Historicals!G159</f>
        <v>139</v>
      </c>
      <c r="H76" s="12">
        <f>Historicals!H159</f>
        <v>153</v>
      </c>
      <c r="I76" s="12">
        <f>Historicals!I159</f>
        <v>197</v>
      </c>
      <c r="J76" s="12">
        <f t="shared" ref="J76:N76" si="89">I76*(1+J77)</f>
        <v>216.7</v>
      </c>
      <c r="K76" s="12">
        <f t="shared" si="89"/>
        <v>234.036</v>
      </c>
      <c r="L76" s="12">
        <f t="shared" si="89"/>
        <v>248.07816</v>
      </c>
      <c r="M76" s="12">
        <f t="shared" si="89"/>
        <v>265.4436312</v>
      </c>
      <c r="N76" s="12">
        <f t="shared" si="89"/>
        <v>290.6607762</v>
      </c>
    </row>
    <row r="77" ht="15.75" customHeight="1">
      <c r="A77" s="41" t="s">
        <v>142</v>
      </c>
      <c r="B77" s="42" t="str">
        <f t="shared" ref="B77:I77" si="90">+IFERROR(B76/A76-1,"nm")</f>
        <v>nm</v>
      </c>
      <c r="C77" s="42">
        <f t="shared" si="90"/>
        <v>-0.01694915254</v>
      </c>
      <c r="D77" s="42">
        <f t="shared" si="90"/>
        <v>-0.2586206897</v>
      </c>
      <c r="E77" s="42">
        <f t="shared" si="90"/>
        <v>0.3953488372</v>
      </c>
      <c r="F77" s="42">
        <f t="shared" si="90"/>
        <v>-0.02916666667</v>
      </c>
      <c r="G77" s="42">
        <f t="shared" si="90"/>
        <v>-0.4034334764</v>
      </c>
      <c r="H77" s="42">
        <f t="shared" si="90"/>
        <v>0.1007194245</v>
      </c>
      <c r="I77" s="42">
        <f t="shared" si="90"/>
        <v>0.2875816993</v>
      </c>
      <c r="J77" s="42">
        <f>0.1</f>
        <v>0.1</v>
      </c>
      <c r="K77" s="42">
        <v>0.08</v>
      </c>
      <c r="L77" s="42">
        <v>0.06</v>
      </c>
      <c r="M77" s="42">
        <v>0.07</v>
      </c>
      <c r="N77" s="42">
        <v>0.095</v>
      </c>
      <c r="P77" s="2" t="s">
        <v>166</v>
      </c>
    </row>
    <row r="78" ht="15.75" customHeight="1">
      <c r="A78" s="41" t="s">
        <v>146</v>
      </c>
      <c r="B78" s="42">
        <f t="shared" ref="B78:I78" si="91">+IFERROR(B76/B$52,"nm")</f>
        <v>0.03311815885</v>
      </c>
      <c r="C78" s="42">
        <f t="shared" si="91"/>
        <v>0.03171565277</v>
      </c>
      <c r="D78" s="42">
        <f t="shared" si="91"/>
        <v>0.02158092848</v>
      </c>
      <c r="E78" s="42">
        <f t="shared" si="91"/>
        <v>0.02596840511</v>
      </c>
      <c r="F78" s="42">
        <f t="shared" si="91"/>
        <v>0.02374643294</v>
      </c>
      <c r="G78" s="42">
        <f t="shared" si="91"/>
        <v>0.01487108163</v>
      </c>
      <c r="H78" s="42">
        <f t="shared" si="91"/>
        <v>0.01335544693</v>
      </c>
      <c r="I78" s="42">
        <f t="shared" si="91"/>
        <v>0.01578652136</v>
      </c>
      <c r="J78" s="45">
        <f t="shared" ref="J78:N78" si="92">J76/J52</f>
        <v>0.01661046804</v>
      </c>
      <c r="K78" s="45">
        <f t="shared" si="92"/>
        <v>0.01704480305</v>
      </c>
      <c r="L78" s="45">
        <f t="shared" si="92"/>
        <v>0.01748128185</v>
      </c>
      <c r="M78" s="45">
        <f t="shared" si="92"/>
        <v>0.01805493562</v>
      </c>
      <c r="N78" s="45">
        <f t="shared" si="92"/>
        <v>0.01922440204</v>
      </c>
    </row>
    <row r="79" ht="15.75" customHeight="1">
      <c r="A79" s="12" t="s">
        <v>149</v>
      </c>
      <c r="B79" s="12">
        <f>Historicals!B148</f>
        <v>498</v>
      </c>
      <c r="C79" s="12">
        <f>Historicals!C148</f>
        <v>639</v>
      </c>
      <c r="D79" s="12">
        <f>Historicals!D148</f>
        <v>706</v>
      </c>
      <c r="E79" s="12">
        <f>Historicals!E148</f>
        <v>849</v>
      </c>
      <c r="F79" s="12">
        <f>Historicals!F148</f>
        <v>929</v>
      </c>
      <c r="G79" s="12">
        <f>Historicals!G148</f>
        <v>885</v>
      </c>
      <c r="H79" s="12">
        <f>Historicals!H148</f>
        <v>982</v>
      </c>
      <c r="I79" s="12">
        <f>Historicals!I148</f>
        <v>920</v>
      </c>
      <c r="J79" s="12">
        <f t="shared" ref="J79:N79" si="93">I79*(1+J80)</f>
        <v>938.4</v>
      </c>
      <c r="K79" s="12">
        <f t="shared" si="93"/>
        <v>975.936</v>
      </c>
      <c r="L79" s="12">
        <f t="shared" si="93"/>
        <v>1013.021568</v>
      </c>
      <c r="M79" s="12">
        <f t="shared" si="93"/>
        <v>1036.321064</v>
      </c>
      <c r="N79" s="12">
        <f t="shared" si="93"/>
        <v>1048.756917</v>
      </c>
    </row>
    <row r="80" ht="15.75" customHeight="1">
      <c r="A80" s="41" t="s">
        <v>142</v>
      </c>
      <c r="B80" s="42" t="str">
        <f t="shared" ref="B80:I80" si="94">+IFERROR(B79/A79-1,"nm")</f>
        <v>nm</v>
      </c>
      <c r="C80" s="42">
        <f t="shared" si="94"/>
        <v>0.2831325301</v>
      </c>
      <c r="D80" s="42">
        <f t="shared" si="94"/>
        <v>0.1048513302</v>
      </c>
      <c r="E80" s="42">
        <f t="shared" si="94"/>
        <v>0.2025495751</v>
      </c>
      <c r="F80" s="42">
        <f t="shared" si="94"/>
        <v>0.09422850412</v>
      </c>
      <c r="G80" s="42">
        <f t="shared" si="94"/>
        <v>-0.04736275565</v>
      </c>
      <c r="H80" s="42">
        <f t="shared" si="94"/>
        <v>0.1096045198</v>
      </c>
      <c r="I80" s="42">
        <f t="shared" si="94"/>
        <v>-0.06313645621</v>
      </c>
      <c r="J80" s="42">
        <f>0.02</f>
        <v>0.02</v>
      </c>
      <c r="K80" s="42">
        <f>4%</f>
        <v>0.04</v>
      </c>
      <c r="L80" s="42">
        <v>0.038</v>
      </c>
      <c r="M80" s="42">
        <v>0.023</v>
      </c>
      <c r="N80" s="42">
        <v>0.012</v>
      </c>
      <c r="P80" s="2" t="s">
        <v>167</v>
      </c>
    </row>
    <row r="81" ht="15.75" customHeight="1">
      <c r="A81" s="41" t="s">
        <v>146</v>
      </c>
      <c r="B81" s="42">
        <f t="shared" ref="B81:N81" si="95">+IFERROR(B79/B$52,"nm")</f>
        <v>0.06988492843</v>
      </c>
      <c r="C81" s="42">
        <f t="shared" si="95"/>
        <v>0.08735475051</v>
      </c>
      <c r="D81" s="42">
        <f t="shared" si="95"/>
        <v>0.08858218319</v>
      </c>
      <c r="E81" s="42">
        <f t="shared" si="95"/>
        <v>0.09186323307</v>
      </c>
      <c r="F81" s="42">
        <f t="shared" si="95"/>
        <v>0.09467998369</v>
      </c>
      <c r="G81" s="42">
        <f t="shared" si="95"/>
        <v>0.09468278592</v>
      </c>
      <c r="H81" s="42">
        <f t="shared" si="95"/>
        <v>0.08571927374</v>
      </c>
      <c r="I81" s="42">
        <f t="shared" si="95"/>
        <v>0.07372385608</v>
      </c>
      <c r="J81" s="42">
        <f t="shared" si="95"/>
        <v>0.07193014865</v>
      </c>
      <c r="K81" s="42">
        <f t="shared" si="95"/>
        <v>0.07107725696</v>
      </c>
      <c r="L81" s="42">
        <f t="shared" si="95"/>
        <v>0.07138441993</v>
      </c>
      <c r="M81" s="42">
        <f t="shared" si="95"/>
        <v>0.07048844986</v>
      </c>
      <c r="N81" s="42">
        <f t="shared" si="95"/>
        <v>0.06936513717</v>
      </c>
    </row>
    <row r="82" ht="15.75" customHeight="1">
      <c r="A82" s="43" t="s">
        <v>118</v>
      </c>
      <c r="B82" s="43"/>
      <c r="C82" s="43"/>
      <c r="D82" s="43"/>
      <c r="E82" s="43"/>
      <c r="F82" s="43"/>
      <c r="G82" s="43"/>
      <c r="H82" s="43"/>
      <c r="I82" s="43"/>
      <c r="J82" s="39"/>
      <c r="K82" s="39"/>
      <c r="L82" s="39"/>
      <c r="M82" s="39"/>
      <c r="N82" s="39"/>
    </row>
    <row r="83" ht="15.75" customHeight="1">
      <c r="A83" s="12" t="s">
        <v>150</v>
      </c>
      <c r="B83" s="12">
        <f>Historicals!B117</f>
        <v>3067</v>
      </c>
      <c r="C83" s="12">
        <f>Historicals!C117</f>
        <v>3785</v>
      </c>
      <c r="D83" s="12">
        <f>Historicals!D117</f>
        <v>4237</v>
      </c>
      <c r="E83" s="12">
        <f>Historicals!E117</f>
        <v>5134</v>
      </c>
      <c r="F83" s="12">
        <f>Historicals!F117</f>
        <v>6208</v>
      </c>
      <c r="G83" s="12">
        <f>Historicals!G117</f>
        <v>6679</v>
      </c>
      <c r="H83" s="12">
        <f>Historicals!H117</f>
        <v>8290</v>
      </c>
      <c r="I83" s="12">
        <f>Historicals!I117</f>
        <v>7547</v>
      </c>
      <c r="J83" s="12">
        <f t="shared" ref="J83:N83" si="96">+SUM(J85+J89+J93)</f>
        <v>7684.35</v>
      </c>
      <c r="K83" s="12">
        <f t="shared" si="96"/>
        <v>7985.23698</v>
      </c>
      <c r="L83" s="12">
        <f t="shared" si="96"/>
        <v>8602.181154</v>
      </c>
      <c r="M83" s="12">
        <f t="shared" si="96"/>
        <v>9463.913711</v>
      </c>
      <c r="N83" s="12">
        <f t="shared" si="96"/>
        <v>10530.502</v>
      </c>
    </row>
    <row r="84" ht="15.75" customHeight="1">
      <c r="A84" s="41" t="s">
        <v>142</v>
      </c>
      <c r="B84" s="42" t="str">
        <f t="shared" ref="B84:N84" si="97">+IFERROR(B83/A83-1,"nm")</f>
        <v>nm</v>
      </c>
      <c r="C84" s="42">
        <f t="shared" si="97"/>
        <v>0.2341049886</v>
      </c>
      <c r="D84" s="42">
        <f t="shared" si="97"/>
        <v>0.1194187583</v>
      </c>
      <c r="E84" s="42">
        <f t="shared" si="97"/>
        <v>0.211706396</v>
      </c>
      <c r="F84" s="42">
        <f t="shared" si="97"/>
        <v>0.2091936112</v>
      </c>
      <c r="G84" s="42">
        <f t="shared" si="97"/>
        <v>0.07586984536</v>
      </c>
      <c r="H84" s="42">
        <f t="shared" si="97"/>
        <v>0.241203773</v>
      </c>
      <c r="I84" s="42">
        <f t="shared" si="97"/>
        <v>-0.08962605549</v>
      </c>
      <c r="J84" s="42">
        <f t="shared" si="97"/>
        <v>0.01819928448</v>
      </c>
      <c r="K84" s="42">
        <f t="shared" si="97"/>
        <v>0.03915581409</v>
      </c>
      <c r="L84" s="42">
        <f t="shared" si="97"/>
        <v>0.07726059676</v>
      </c>
      <c r="M84" s="42">
        <f t="shared" si="97"/>
        <v>0.1001760532</v>
      </c>
      <c r="N84" s="42">
        <f t="shared" si="97"/>
        <v>0.1127005512</v>
      </c>
      <c r="P84" s="2" t="s">
        <v>151</v>
      </c>
    </row>
    <row r="85" ht="15.75" customHeight="1">
      <c r="A85" s="44" t="s">
        <v>114</v>
      </c>
      <c r="B85" s="9">
        <f>Historicals!B118</f>
        <v>2016</v>
      </c>
      <c r="C85" s="9">
        <f>Historicals!C118</f>
        <v>2599</v>
      </c>
      <c r="D85" s="9">
        <f>Historicals!D118</f>
        <v>2920</v>
      </c>
      <c r="E85" s="9">
        <f>Historicals!E118</f>
        <v>3496</v>
      </c>
      <c r="F85" s="9">
        <f>Historicals!F118</f>
        <v>4262</v>
      </c>
      <c r="G85" s="9">
        <f>Historicals!G118</f>
        <v>4635</v>
      </c>
      <c r="H85" s="9">
        <f>Historicals!H118</f>
        <v>5748</v>
      </c>
      <c r="I85" s="9">
        <f>Historicals!I118</f>
        <v>5416</v>
      </c>
      <c r="J85" s="9">
        <f t="shared" ref="J85:N85" si="98">+I85*(1+J86)</f>
        <v>5524.32</v>
      </c>
      <c r="K85" s="9">
        <f t="shared" si="98"/>
        <v>5750.81712</v>
      </c>
      <c r="L85" s="9">
        <f t="shared" si="98"/>
        <v>6245.387392</v>
      </c>
      <c r="M85" s="9">
        <f t="shared" si="98"/>
        <v>6951.116168</v>
      </c>
      <c r="N85" s="9">
        <f t="shared" si="98"/>
        <v>7792.201224</v>
      </c>
    </row>
    <row r="86" ht="15.75" customHeight="1">
      <c r="A86" s="41" t="s">
        <v>142</v>
      </c>
      <c r="B86" s="42" t="str">
        <f t="shared" ref="B86:I86" si="99">+IFERROR(B85/A85-1,"nm")</f>
        <v>nm</v>
      </c>
      <c r="C86" s="42">
        <f t="shared" si="99"/>
        <v>0.2891865079</v>
      </c>
      <c r="D86" s="42">
        <f t="shared" si="99"/>
        <v>0.1235090419</v>
      </c>
      <c r="E86" s="42">
        <f t="shared" si="99"/>
        <v>0.197260274</v>
      </c>
      <c r="F86" s="42">
        <f t="shared" si="99"/>
        <v>0.2191075515</v>
      </c>
      <c r="G86" s="42">
        <f t="shared" si="99"/>
        <v>0.08751759737</v>
      </c>
      <c r="H86" s="42">
        <f t="shared" si="99"/>
        <v>0.2401294498</v>
      </c>
      <c r="I86" s="42">
        <f t="shared" si="99"/>
        <v>-0.0577592206</v>
      </c>
      <c r="J86" s="42">
        <f t="shared" ref="J86:N86" si="100">+J87+J88</f>
        <v>0.02</v>
      </c>
      <c r="K86" s="42">
        <f t="shared" si="100"/>
        <v>0.041</v>
      </c>
      <c r="L86" s="42">
        <f t="shared" si="100"/>
        <v>0.086</v>
      </c>
      <c r="M86" s="42">
        <f t="shared" si="100"/>
        <v>0.113</v>
      </c>
      <c r="N86" s="42">
        <f t="shared" si="100"/>
        <v>0.121</v>
      </c>
      <c r="P86" s="2" t="s">
        <v>168</v>
      </c>
    </row>
    <row r="87" ht="15.75" customHeight="1">
      <c r="A87" s="41" t="s">
        <v>153</v>
      </c>
      <c r="B87" s="42">
        <f>Historicals!B190</f>
        <v>0.28</v>
      </c>
      <c r="C87" s="42">
        <f>Historicals!C190</f>
        <v>0.33</v>
      </c>
      <c r="D87" s="42">
        <f>Historicals!D190</f>
        <v>0.18</v>
      </c>
      <c r="E87" s="42">
        <f>Historicals!E190</f>
        <v>0.16</v>
      </c>
      <c r="F87" s="42">
        <f>Historicals!F190</f>
        <v>0.25</v>
      </c>
      <c r="G87" s="42">
        <f>Historicals!G190</f>
        <v>0.12</v>
      </c>
      <c r="H87" s="42">
        <f>Historicals!H190</f>
        <v>0.19</v>
      </c>
      <c r="I87" s="42">
        <f>Historicals!I190</f>
        <v>-0.1</v>
      </c>
      <c r="J87" s="45">
        <v>0.02</v>
      </c>
      <c r="K87" s="45">
        <v>0.041</v>
      </c>
      <c r="L87" s="45">
        <v>0.086</v>
      </c>
      <c r="M87" s="45">
        <v>0.113</v>
      </c>
      <c r="N87" s="45">
        <v>0.121</v>
      </c>
    </row>
    <row r="88" ht="15.75" customHeight="1">
      <c r="A88" s="41" t="s">
        <v>154</v>
      </c>
      <c r="B88" s="42" t="str">
        <f t="shared" ref="B88:I88" si="101">+IFERROR(B86-B87,"nm")</f>
        <v>nm</v>
      </c>
      <c r="C88" s="42">
        <f t="shared" si="101"/>
        <v>-0.04081349206</v>
      </c>
      <c r="D88" s="42">
        <f t="shared" si="101"/>
        <v>-0.05649095806</v>
      </c>
      <c r="E88" s="42">
        <f t="shared" si="101"/>
        <v>0.03726027397</v>
      </c>
      <c r="F88" s="42">
        <f t="shared" si="101"/>
        <v>-0.03089244851</v>
      </c>
      <c r="G88" s="42">
        <f t="shared" si="101"/>
        <v>-0.03248240263</v>
      </c>
      <c r="H88" s="42">
        <f t="shared" si="101"/>
        <v>0.05012944984</v>
      </c>
      <c r="I88" s="42">
        <f t="shared" si="101"/>
        <v>0.0422407794</v>
      </c>
      <c r="J88" s="45">
        <v>0.0</v>
      </c>
      <c r="K88" s="45">
        <v>0.0</v>
      </c>
      <c r="L88" s="45">
        <v>0.0</v>
      </c>
      <c r="M88" s="45">
        <v>0.0</v>
      </c>
      <c r="N88" s="45">
        <v>0.0</v>
      </c>
    </row>
    <row r="89" ht="15.75" customHeight="1">
      <c r="A89" s="44" t="s">
        <v>115</v>
      </c>
      <c r="B89" s="9">
        <f>Historicals!B119</f>
        <v>925</v>
      </c>
      <c r="C89" s="9">
        <f>Historicals!C119</f>
        <v>1055</v>
      </c>
      <c r="D89" s="9">
        <f>Historicals!D119</f>
        <v>1188</v>
      </c>
      <c r="E89" s="9">
        <f>Historicals!E119</f>
        <v>1508</v>
      </c>
      <c r="F89" s="9">
        <f>Historicals!F119</f>
        <v>1808</v>
      </c>
      <c r="G89" s="9">
        <f>Historicals!G119</f>
        <v>1896</v>
      </c>
      <c r="H89" s="9">
        <f>Historicals!H119</f>
        <v>2347</v>
      </c>
      <c r="I89" s="9">
        <f>Historicals!I119</f>
        <v>1938</v>
      </c>
      <c r="J89" s="9">
        <f t="shared" ref="J89:N89" si="102">+I89*(1+J90)</f>
        <v>1957.38</v>
      </c>
      <c r="K89" s="9">
        <f t="shared" si="102"/>
        <v>2020.01616</v>
      </c>
      <c r="L89" s="9">
        <f t="shared" si="102"/>
        <v>2129.097033</v>
      </c>
      <c r="M89" s="9">
        <f t="shared" si="102"/>
        <v>2269.617437</v>
      </c>
      <c r="N89" s="9">
        <f t="shared" si="102"/>
        <v>2476.152624</v>
      </c>
    </row>
    <row r="90" ht="15.75" customHeight="1">
      <c r="A90" s="41" t="s">
        <v>142</v>
      </c>
      <c r="B90" s="42" t="str">
        <f t="shared" ref="B90:I90" si="103">+IFERROR(B89/A89-1,"nm")</f>
        <v>nm</v>
      </c>
      <c r="C90" s="42">
        <f t="shared" si="103"/>
        <v>0.1405405405</v>
      </c>
      <c r="D90" s="42">
        <f t="shared" si="103"/>
        <v>0.1260663507</v>
      </c>
      <c r="E90" s="42">
        <f t="shared" si="103"/>
        <v>0.2693602694</v>
      </c>
      <c r="F90" s="42">
        <f t="shared" si="103"/>
        <v>0.198938992</v>
      </c>
      <c r="G90" s="42">
        <f t="shared" si="103"/>
        <v>0.04867256637</v>
      </c>
      <c r="H90" s="42">
        <f t="shared" si="103"/>
        <v>0.2378691983</v>
      </c>
      <c r="I90" s="42">
        <f t="shared" si="103"/>
        <v>-0.1742650192</v>
      </c>
      <c r="J90" s="42">
        <f t="shared" ref="J90:N90" si="104">+J91+J92</f>
        <v>0.01</v>
      </c>
      <c r="K90" s="42">
        <f t="shared" si="104"/>
        <v>0.032</v>
      </c>
      <c r="L90" s="42">
        <f t="shared" si="104"/>
        <v>0.054</v>
      </c>
      <c r="M90" s="42">
        <f t="shared" si="104"/>
        <v>0.066</v>
      </c>
      <c r="N90" s="42">
        <f t="shared" si="104"/>
        <v>0.091</v>
      </c>
      <c r="P90" s="2" t="s">
        <v>168</v>
      </c>
    </row>
    <row r="91" ht="15.75" customHeight="1">
      <c r="A91" s="41" t="s">
        <v>153</v>
      </c>
      <c r="B91" s="42">
        <f>Historicals!B191</f>
        <v>0.07</v>
      </c>
      <c r="C91" s="42">
        <f>Historicals!C191</f>
        <v>0.17</v>
      </c>
      <c r="D91" s="42">
        <f>Historicals!D191</f>
        <v>0.18</v>
      </c>
      <c r="E91" s="42">
        <f>Historicals!E191</f>
        <v>0.23</v>
      </c>
      <c r="F91" s="42">
        <f>Historicals!F191</f>
        <v>0.23</v>
      </c>
      <c r="G91" s="42">
        <f>Historicals!G191</f>
        <v>0.08</v>
      </c>
      <c r="H91" s="42">
        <f>Historicals!H191</f>
        <v>0.19</v>
      </c>
      <c r="I91" s="42">
        <f>Historicals!I191</f>
        <v>-0.21</v>
      </c>
      <c r="J91" s="45">
        <v>0.01</v>
      </c>
      <c r="K91" s="45">
        <v>0.032</v>
      </c>
      <c r="L91" s="45">
        <v>0.054</v>
      </c>
      <c r="M91" s="45">
        <v>0.066</v>
      </c>
      <c r="N91" s="45">
        <v>0.091</v>
      </c>
    </row>
    <row r="92" ht="15.75" customHeight="1">
      <c r="A92" s="41" t="s">
        <v>154</v>
      </c>
      <c r="B92" s="42" t="str">
        <f t="shared" ref="B92:I92" si="105">+IFERROR(B90-B91,"nm")</f>
        <v>nm</v>
      </c>
      <c r="C92" s="42">
        <f t="shared" si="105"/>
        <v>-0.02945945946</v>
      </c>
      <c r="D92" s="42">
        <f t="shared" si="105"/>
        <v>-0.05393364929</v>
      </c>
      <c r="E92" s="42">
        <f t="shared" si="105"/>
        <v>0.03936026936</v>
      </c>
      <c r="F92" s="42">
        <f t="shared" si="105"/>
        <v>-0.03106100796</v>
      </c>
      <c r="G92" s="42">
        <f t="shared" si="105"/>
        <v>-0.03132743363</v>
      </c>
      <c r="H92" s="42">
        <f t="shared" si="105"/>
        <v>0.04786919831</v>
      </c>
      <c r="I92" s="42">
        <f t="shared" si="105"/>
        <v>0.03573498083</v>
      </c>
      <c r="J92" s="45">
        <v>0.0</v>
      </c>
      <c r="K92" s="45">
        <v>0.0</v>
      </c>
      <c r="L92" s="45">
        <v>0.0</v>
      </c>
      <c r="M92" s="45">
        <v>0.0</v>
      </c>
      <c r="N92" s="45">
        <v>0.0</v>
      </c>
    </row>
    <row r="93" ht="15.75" customHeight="1">
      <c r="A93" s="44" t="s">
        <v>116</v>
      </c>
      <c r="B93" s="9">
        <f>Historicals!B120</f>
        <v>126</v>
      </c>
      <c r="C93" s="9">
        <f>Historicals!C120</f>
        <v>131</v>
      </c>
      <c r="D93" s="9">
        <f>Historicals!D120</f>
        <v>129</v>
      </c>
      <c r="E93" s="9">
        <f>Historicals!E120</f>
        <v>130</v>
      </c>
      <c r="F93" s="9">
        <f>Historicals!F120</f>
        <v>138</v>
      </c>
      <c r="G93" s="9">
        <f>Historicals!G120</f>
        <v>148</v>
      </c>
      <c r="H93" s="9">
        <f>Historicals!H120</f>
        <v>195</v>
      </c>
      <c r="I93" s="9">
        <f>Historicals!I120</f>
        <v>193</v>
      </c>
      <c r="J93" s="9">
        <f t="shared" ref="J93:N93" si="106">+I93*(1+J94)</f>
        <v>202.65</v>
      </c>
      <c r="K93" s="9">
        <f t="shared" si="106"/>
        <v>214.4037</v>
      </c>
      <c r="L93" s="9">
        <f t="shared" si="106"/>
        <v>227.6967294</v>
      </c>
      <c r="M93" s="9">
        <f t="shared" si="106"/>
        <v>243.180107</v>
      </c>
      <c r="N93" s="9">
        <f t="shared" si="106"/>
        <v>262.1481553</v>
      </c>
    </row>
    <row r="94" ht="15.75" customHeight="1">
      <c r="A94" s="41" t="s">
        <v>142</v>
      </c>
      <c r="B94" s="42" t="str">
        <f t="shared" ref="B94:I94" si="107">+IFERROR(B93/A93-1,"nm")</f>
        <v>nm</v>
      </c>
      <c r="C94" s="42">
        <f t="shared" si="107"/>
        <v>0.03968253968</v>
      </c>
      <c r="D94" s="42">
        <f t="shared" si="107"/>
        <v>-0.01526717557</v>
      </c>
      <c r="E94" s="42">
        <f t="shared" si="107"/>
        <v>0.007751937984</v>
      </c>
      <c r="F94" s="42">
        <f t="shared" si="107"/>
        <v>0.06153846154</v>
      </c>
      <c r="G94" s="42">
        <f t="shared" si="107"/>
        <v>0.07246376812</v>
      </c>
      <c r="H94" s="42">
        <f t="shared" si="107"/>
        <v>0.3175675676</v>
      </c>
      <c r="I94" s="42">
        <f t="shared" si="107"/>
        <v>-0.01025641026</v>
      </c>
      <c r="J94" s="42">
        <f t="shared" ref="J94:N94" si="108">+J95+J96</f>
        <v>0.05</v>
      </c>
      <c r="K94" s="42">
        <f t="shared" si="108"/>
        <v>0.058</v>
      </c>
      <c r="L94" s="42">
        <f t="shared" si="108"/>
        <v>0.062</v>
      </c>
      <c r="M94" s="42">
        <f t="shared" si="108"/>
        <v>0.068</v>
      </c>
      <c r="N94" s="42">
        <f t="shared" si="108"/>
        <v>0.078</v>
      </c>
      <c r="P94" s="2" t="s">
        <v>168</v>
      </c>
    </row>
    <row r="95" ht="15.75" customHeight="1">
      <c r="A95" s="41" t="s">
        <v>153</v>
      </c>
      <c r="B95" s="42">
        <f>Historicals!B192</f>
        <v>0.01</v>
      </c>
      <c r="C95" s="42">
        <f>Historicals!C192</f>
        <v>0.07</v>
      </c>
      <c r="D95" s="42">
        <f>Historicals!D192</f>
        <v>0.03</v>
      </c>
      <c r="E95" s="42">
        <f>Historicals!E192</f>
        <v>-0.01</v>
      </c>
      <c r="F95" s="42">
        <f>Historicals!F192</f>
        <v>0.08</v>
      </c>
      <c r="G95" s="42">
        <f>Historicals!G192</f>
        <v>0.11</v>
      </c>
      <c r="H95" s="42">
        <f>Historicals!H192</f>
        <v>0.26</v>
      </c>
      <c r="I95" s="42">
        <f>Historicals!I192</f>
        <v>-0.06</v>
      </c>
      <c r="J95" s="45">
        <v>0.05</v>
      </c>
      <c r="K95" s="45">
        <v>0.058</v>
      </c>
      <c r="L95" s="45">
        <v>0.062</v>
      </c>
      <c r="M95" s="45">
        <v>0.068</v>
      </c>
      <c r="N95" s="45">
        <v>0.078</v>
      </c>
    </row>
    <row r="96" ht="15.75" customHeight="1">
      <c r="A96" s="41" t="s">
        <v>154</v>
      </c>
      <c r="B96" s="42" t="str">
        <f t="shared" ref="B96:I96" si="109">+IFERROR(B94-B95,"nm")</f>
        <v>nm</v>
      </c>
      <c r="C96" s="42">
        <f t="shared" si="109"/>
        <v>-0.03031746032</v>
      </c>
      <c r="D96" s="42">
        <f t="shared" si="109"/>
        <v>-0.04526717557</v>
      </c>
      <c r="E96" s="42">
        <f t="shared" si="109"/>
        <v>0.01775193798</v>
      </c>
      <c r="F96" s="42">
        <f t="shared" si="109"/>
        <v>-0.01846153846</v>
      </c>
      <c r="G96" s="42">
        <f t="shared" si="109"/>
        <v>-0.03753623188</v>
      </c>
      <c r="H96" s="42">
        <f t="shared" si="109"/>
        <v>0.05756756757</v>
      </c>
      <c r="I96" s="42">
        <f t="shared" si="109"/>
        <v>0.04974358974</v>
      </c>
      <c r="J96" s="45">
        <v>0.0</v>
      </c>
      <c r="K96" s="45">
        <v>0.0</v>
      </c>
      <c r="L96" s="45">
        <v>0.0</v>
      </c>
      <c r="M96" s="45">
        <v>0.0</v>
      </c>
      <c r="N96" s="45">
        <v>0.0</v>
      </c>
    </row>
    <row r="97" ht="15.75" customHeight="1">
      <c r="A97" s="12" t="s">
        <v>143</v>
      </c>
      <c r="B97" s="12">
        <f t="shared" ref="B97:I97" si="110">B100+B104</f>
        <v>1039</v>
      </c>
      <c r="C97" s="12">
        <f t="shared" si="110"/>
        <v>1420</v>
      </c>
      <c r="D97" s="12">
        <f t="shared" si="110"/>
        <v>1561</v>
      </c>
      <c r="E97" s="12">
        <f t="shared" si="110"/>
        <v>1863</v>
      </c>
      <c r="F97" s="12">
        <f t="shared" si="110"/>
        <v>2426</v>
      </c>
      <c r="G97" s="12">
        <f t="shared" si="110"/>
        <v>2534</v>
      </c>
      <c r="H97" s="12">
        <f t="shared" si="110"/>
        <v>3289</v>
      </c>
      <c r="I97" s="12">
        <f t="shared" si="110"/>
        <v>2406</v>
      </c>
      <c r="J97" s="12">
        <f t="shared" ref="J97:N97" si="111">J99*J83</f>
        <v>2443.6233</v>
      </c>
      <c r="K97" s="12">
        <f t="shared" si="111"/>
        <v>2651.098677</v>
      </c>
      <c r="L97" s="12">
        <f t="shared" si="111"/>
        <v>2924.741592</v>
      </c>
      <c r="M97" s="12">
        <f t="shared" si="111"/>
        <v>3179.875007</v>
      </c>
      <c r="N97" s="12">
        <f t="shared" si="111"/>
        <v>3685.675701</v>
      </c>
    </row>
    <row r="98" ht="15.75" customHeight="1">
      <c r="A98" s="41" t="s">
        <v>142</v>
      </c>
      <c r="B98" s="42" t="str">
        <f t="shared" ref="B98:I98" si="112">+IFERROR(B97/A97-1,"nm")</f>
        <v>nm</v>
      </c>
      <c r="C98" s="42">
        <f t="shared" si="112"/>
        <v>0.3666987488</v>
      </c>
      <c r="D98" s="42">
        <f t="shared" si="112"/>
        <v>0.09929577465</v>
      </c>
      <c r="E98" s="42">
        <f t="shared" si="112"/>
        <v>0.1934657271</v>
      </c>
      <c r="F98" s="42">
        <f t="shared" si="112"/>
        <v>0.3022007515</v>
      </c>
      <c r="G98" s="42">
        <f t="shared" si="112"/>
        <v>0.04451772465</v>
      </c>
      <c r="H98" s="42">
        <f t="shared" si="112"/>
        <v>0.2979479084</v>
      </c>
      <c r="I98" s="42">
        <f t="shared" si="112"/>
        <v>-0.2684706598</v>
      </c>
      <c r="J98" s="42">
        <f t="shared" ref="J98:N98" si="113">(J97-I97)/I97</f>
        <v>0.0156372818</v>
      </c>
      <c r="K98" s="42">
        <f t="shared" si="113"/>
        <v>0.08490481219</v>
      </c>
      <c r="L98" s="42">
        <f t="shared" si="113"/>
        <v>0.1032186834</v>
      </c>
      <c r="M98" s="42">
        <f t="shared" si="113"/>
        <v>0.08723280553</v>
      </c>
      <c r="N98" s="42">
        <f t="shared" si="113"/>
        <v>0.1590630741</v>
      </c>
    </row>
    <row r="99" ht="15.75" customHeight="1">
      <c r="A99" s="41" t="s">
        <v>144</v>
      </c>
      <c r="B99" s="42">
        <f t="shared" ref="B99:I99" si="114">+IFERROR(B97/B$83,"nm")</f>
        <v>0.3387675253</v>
      </c>
      <c r="C99" s="42">
        <f t="shared" si="114"/>
        <v>0.3751651255</v>
      </c>
      <c r="D99" s="42">
        <f t="shared" si="114"/>
        <v>0.3684210526</v>
      </c>
      <c r="E99" s="42">
        <f t="shared" si="114"/>
        <v>0.3628749513</v>
      </c>
      <c r="F99" s="42">
        <f t="shared" si="114"/>
        <v>0.3907860825</v>
      </c>
      <c r="G99" s="42">
        <f t="shared" si="114"/>
        <v>0.3793981135</v>
      </c>
      <c r="H99" s="42">
        <f t="shared" si="114"/>
        <v>0.3967430639</v>
      </c>
      <c r="I99" s="42">
        <f t="shared" si="114"/>
        <v>0.318802173</v>
      </c>
      <c r="J99" s="45">
        <v>0.318</v>
      </c>
      <c r="K99" s="45">
        <v>0.332</v>
      </c>
      <c r="L99" s="45">
        <v>0.34</v>
      </c>
      <c r="M99" s="45">
        <v>0.336</v>
      </c>
      <c r="N99" s="45">
        <v>0.35</v>
      </c>
      <c r="O99" s="2" t="s">
        <v>169</v>
      </c>
    </row>
    <row r="100" ht="15.75" customHeight="1">
      <c r="A100" s="12" t="s">
        <v>145</v>
      </c>
      <c r="B100" s="12">
        <f>Historicals!B171</f>
        <v>46</v>
      </c>
      <c r="C100" s="12">
        <f>Historicals!C171</f>
        <v>48</v>
      </c>
      <c r="D100" s="12">
        <f>Historicals!D171</f>
        <v>54</v>
      </c>
      <c r="E100" s="12">
        <f>Historicals!E171</f>
        <v>56</v>
      </c>
      <c r="F100" s="12">
        <f>Historicals!F171</f>
        <v>50</v>
      </c>
      <c r="G100" s="12">
        <f>Historicals!G171</f>
        <v>44</v>
      </c>
      <c r="H100" s="12">
        <f>Historicals!H171</f>
        <v>46</v>
      </c>
      <c r="I100" s="12">
        <f>Historicals!I171</f>
        <v>41</v>
      </c>
      <c r="J100" s="12">
        <f t="shared" ref="J100:N100" si="115">I100*(1+J101)</f>
        <v>46.33</v>
      </c>
      <c r="K100" s="12">
        <f t="shared" si="115"/>
        <v>52.90886</v>
      </c>
      <c r="L100" s="12">
        <f t="shared" si="115"/>
        <v>60.21028268</v>
      </c>
      <c r="M100" s="12">
        <f t="shared" si="115"/>
        <v>69.30203536</v>
      </c>
      <c r="N100" s="12">
        <f t="shared" si="115"/>
        <v>79.48943456</v>
      </c>
    </row>
    <row r="101" ht="15.75" customHeight="1">
      <c r="A101" s="41" t="s">
        <v>142</v>
      </c>
      <c r="B101" s="42" t="str">
        <f t="shared" ref="B101:I101" si="116">+IFERROR(B100/A100-1,"nm")</f>
        <v>nm</v>
      </c>
      <c r="C101" s="42">
        <f t="shared" si="116"/>
        <v>0.04347826087</v>
      </c>
      <c r="D101" s="42">
        <f t="shared" si="116"/>
        <v>0.125</v>
      </c>
      <c r="E101" s="42">
        <f t="shared" si="116"/>
        <v>0.03703703704</v>
      </c>
      <c r="F101" s="42">
        <f t="shared" si="116"/>
        <v>-0.1071428571</v>
      </c>
      <c r="G101" s="42">
        <f t="shared" si="116"/>
        <v>-0.12</v>
      </c>
      <c r="H101" s="42">
        <f t="shared" si="116"/>
        <v>0.04545454545</v>
      </c>
      <c r="I101" s="42">
        <f t="shared" si="116"/>
        <v>-0.1086956522</v>
      </c>
      <c r="J101" s="42">
        <f>0.13</f>
        <v>0.13</v>
      </c>
      <c r="K101" s="42">
        <v>0.142</v>
      </c>
      <c r="L101" s="42">
        <v>0.138</v>
      </c>
      <c r="M101" s="42">
        <v>0.151</v>
      </c>
      <c r="N101" s="42">
        <v>0.147</v>
      </c>
      <c r="P101" s="2" t="s">
        <v>170</v>
      </c>
    </row>
    <row r="102" ht="15.75" customHeight="1">
      <c r="A102" s="41" t="s">
        <v>146</v>
      </c>
      <c r="B102" s="42">
        <f t="shared" ref="B102:N102" si="117">+IFERROR(B100/B$83,"nm")</f>
        <v>0.01499836974</v>
      </c>
      <c r="C102" s="42">
        <f t="shared" si="117"/>
        <v>0.01268163804</v>
      </c>
      <c r="D102" s="42">
        <f t="shared" si="117"/>
        <v>0.01274486665</v>
      </c>
      <c r="E102" s="42">
        <f t="shared" si="117"/>
        <v>0.01090767433</v>
      </c>
      <c r="F102" s="42">
        <f t="shared" si="117"/>
        <v>0.008054123711</v>
      </c>
      <c r="G102" s="42">
        <f t="shared" si="117"/>
        <v>0.006587812547</v>
      </c>
      <c r="H102" s="42">
        <f t="shared" si="117"/>
        <v>0.005548854041</v>
      </c>
      <c r="I102" s="42">
        <f t="shared" si="117"/>
        <v>0.005432622234</v>
      </c>
      <c r="J102" s="42">
        <f t="shared" si="117"/>
        <v>0.006029137142</v>
      </c>
      <c r="K102" s="42">
        <f t="shared" si="117"/>
        <v>0.006625834666</v>
      </c>
      <c r="L102" s="42">
        <f t="shared" si="117"/>
        <v>0.006999420449</v>
      </c>
      <c r="M102" s="42">
        <f t="shared" si="117"/>
        <v>0.007322767037</v>
      </c>
      <c r="N102" s="42">
        <f t="shared" si="117"/>
        <v>0.007548494321</v>
      </c>
    </row>
    <row r="103" ht="15.75" customHeight="1">
      <c r="A103" s="41" t="s">
        <v>159</v>
      </c>
      <c r="B103" s="42">
        <f t="shared" ref="B103:N103" si="118">+IFERROR(B100/B110,"nm")</f>
        <v>0.1811023622</v>
      </c>
      <c r="C103" s="42">
        <f t="shared" si="118"/>
        <v>0.2051282051</v>
      </c>
      <c r="D103" s="42">
        <f t="shared" si="118"/>
        <v>0.24</v>
      </c>
      <c r="E103" s="42">
        <f t="shared" si="118"/>
        <v>0.21875</v>
      </c>
      <c r="F103" s="42">
        <f t="shared" si="118"/>
        <v>0.2109704641</v>
      </c>
      <c r="G103" s="42">
        <f t="shared" si="118"/>
        <v>0.2056074766</v>
      </c>
      <c r="H103" s="42">
        <f t="shared" si="118"/>
        <v>0.1597222222</v>
      </c>
      <c r="I103" s="42">
        <f t="shared" si="118"/>
        <v>0.1353135314</v>
      </c>
      <c r="J103" s="42">
        <f t="shared" si="118"/>
        <v>0.1456231337</v>
      </c>
      <c r="K103" s="42">
        <f t="shared" si="118"/>
        <v>0.1614578823</v>
      </c>
      <c r="L103" s="42">
        <f t="shared" si="118"/>
        <v>0.1804902456</v>
      </c>
      <c r="M103" s="42">
        <f t="shared" si="118"/>
        <v>0.2030735803</v>
      </c>
      <c r="N103" s="42">
        <f t="shared" si="118"/>
        <v>0.2345673682</v>
      </c>
    </row>
    <row r="104" ht="15.75" customHeight="1">
      <c r="A104" s="12" t="s">
        <v>147</v>
      </c>
      <c r="B104" s="12">
        <f>Historicals!B138</f>
        <v>993</v>
      </c>
      <c r="C104" s="12">
        <f>Historicals!C138</f>
        <v>1372</v>
      </c>
      <c r="D104" s="12">
        <f>Historicals!D138</f>
        <v>1507</v>
      </c>
      <c r="E104" s="12">
        <f>Historicals!E138</f>
        <v>1807</v>
      </c>
      <c r="F104" s="12">
        <f>Historicals!F138</f>
        <v>2376</v>
      </c>
      <c r="G104" s="12">
        <f>Historicals!G138</f>
        <v>2490</v>
      </c>
      <c r="H104" s="12">
        <f>Historicals!H138</f>
        <v>3243</v>
      </c>
      <c r="I104" s="12">
        <f>Historicals!I138</f>
        <v>2365</v>
      </c>
      <c r="J104" s="12">
        <f t="shared" ref="J104:N104" si="119">I104*(1+J105)</f>
        <v>2399.86776</v>
      </c>
      <c r="K104" s="12">
        <f t="shared" si="119"/>
        <v>2467.064057</v>
      </c>
      <c r="L104" s="12">
        <f t="shared" si="119"/>
        <v>2543.543043</v>
      </c>
      <c r="M104" s="12">
        <f t="shared" si="119"/>
        <v>2675.807281</v>
      </c>
      <c r="N104" s="12">
        <f t="shared" si="119"/>
        <v>2822.976682</v>
      </c>
    </row>
    <row r="105" ht="15.75" customHeight="1">
      <c r="A105" s="41" t="s">
        <v>142</v>
      </c>
      <c r="B105" s="42" t="str">
        <f t="shared" ref="B105:I105" si="120">+IFERROR(B104/A104-1,"nm")</f>
        <v>nm</v>
      </c>
      <c r="C105" s="42">
        <f t="shared" si="120"/>
        <v>0.3816717019</v>
      </c>
      <c r="D105" s="42">
        <f t="shared" si="120"/>
        <v>0.09839650146</v>
      </c>
      <c r="E105" s="42">
        <f t="shared" si="120"/>
        <v>0.199071002</v>
      </c>
      <c r="F105" s="42">
        <f t="shared" si="120"/>
        <v>0.3148865523</v>
      </c>
      <c r="G105" s="42">
        <f t="shared" si="120"/>
        <v>0.04797979798</v>
      </c>
      <c r="H105" s="42">
        <f t="shared" si="120"/>
        <v>0.3024096386</v>
      </c>
      <c r="I105" s="42">
        <f t="shared" si="120"/>
        <v>-0.2707369719</v>
      </c>
      <c r="J105" s="42">
        <f>((0.77*0.9*0.9*1.7)^0.25)-1</f>
        <v>0.01474323891</v>
      </c>
      <c r="K105" s="42">
        <v>0.028</v>
      </c>
      <c r="L105" s="42">
        <v>0.031</v>
      </c>
      <c r="M105" s="42">
        <v>0.052</v>
      </c>
      <c r="N105" s="42">
        <v>0.055</v>
      </c>
      <c r="P105" s="2" t="s">
        <v>151</v>
      </c>
    </row>
    <row r="106" ht="15.75" customHeight="1">
      <c r="A106" s="41" t="s">
        <v>144</v>
      </c>
      <c r="B106" s="42">
        <f t="shared" ref="B106:N106" si="121">+IFERROR(B104/B$83,"nm")</f>
        <v>0.3237691555</v>
      </c>
      <c r="C106" s="42">
        <f t="shared" si="121"/>
        <v>0.3624834875</v>
      </c>
      <c r="D106" s="42">
        <f t="shared" si="121"/>
        <v>0.355676186</v>
      </c>
      <c r="E106" s="42">
        <f t="shared" si="121"/>
        <v>0.351967277</v>
      </c>
      <c r="F106" s="42">
        <f t="shared" si="121"/>
        <v>0.3827319588</v>
      </c>
      <c r="G106" s="42">
        <f t="shared" si="121"/>
        <v>0.3728103009</v>
      </c>
      <c r="H106" s="42">
        <f t="shared" si="121"/>
        <v>0.3911942099</v>
      </c>
      <c r="I106" s="42">
        <f t="shared" si="121"/>
        <v>0.3133695508</v>
      </c>
      <c r="J106" s="42">
        <f t="shared" si="121"/>
        <v>0.3123058892</v>
      </c>
      <c r="K106" s="42">
        <f t="shared" si="121"/>
        <v>0.3089531423</v>
      </c>
      <c r="L106" s="42">
        <f t="shared" si="121"/>
        <v>0.2956858264</v>
      </c>
      <c r="M106" s="42">
        <f t="shared" si="121"/>
        <v>0.2827379204</v>
      </c>
      <c r="N106" s="42">
        <f t="shared" si="121"/>
        <v>0.2680761735</v>
      </c>
    </row>
    <row r="107" ht="15.75" customHeight="1">
      <c r="A107" s="12" t="s">
        <v>148</v>
      </c>
      <c r="B107" s="12">
        <f>Historicals!B160</f>
        <v>69</v>
      </c>
      <c r="C107" s="12">
        <f>Historicals!C160</f>
        <v>44</v>
      </c>
      <c r="D107" s="12">
        <f>Historicals!D160</f>
        <v>51</v>
      </c>
      <c r="E107" s="12">
        <f>Historicals!E160</f>
        <v>76</v>
      </c>
      <c r="F107" s="12">
        <f>Historicals!F160</f>
        <v>49</v>
      </c>
      <c r="G107" s="12">
        <f>Historicals!G160</f>
        <v>28</v>
      </c>
      <c r="H107" s="12">
        <f>Historicals!H160</f>
        <v>94</v>
      </c>
      <c r="I107" s="12">
        <f>Historicals!I160</f>
        <v>78</v>
      </c>
      <c r="J107" s="12">
        <f t="shared" ref="J107:N107" si="122">I107*(1+J108)</f>
        <v>70.2</v>
      </c>
      <c r="K107" s="12">
        <f t="shared" si="122"/>
        <v>64.3032</v>
      </c>
      <c r="L107" s="12">
        <f t="shared" si="122"/>
        <v>58.3873056</v>
      </c>
      <c r="M107" s="12">
        <f t="shared" si="122"/>
        <v>53.65793385</v>
      </c>
      <c r="N107" s="12">
        <f t="shared" si="122"/>
        <v>48.02385079</v>
      </c>
    </row>
    <row r="108" ht="15.75" customHeight="1">
      <c r="A108" s="41" t="s">
        <v>142</v>
      </c>
      <c r="B108" s="42" t="str">
        <f t="shared" ref="B108:I108" si="123">+IFERROR(B107/A107-1,"nm")</f>
        <v>nm</v>
      </c>
      <c r="C108" s="42">
        <f t="shared" si="123"/>
        <v>-0.3623188406</v>
      </c>
      <c r="D108" s="42">
        <f t="shared" si="123"/>
        <v>0.1590909091</v>
      </c>
      <c r="E108" s="42">
        <f t="shared" si="123"/>
        <v>0.4901960784</v>
      </c>
      <c r="F108" s="42">
        <f t="shared" si="123"/>
        <v>-0.3552631579</v>
      </c>
      <c r="G108" s="42">
        <f t="shared" si="123"/>
        <v>-0.4285714286</v>
      </c>
      <c r="H108" s="42">
        <f t="shared" si="123"/>
        <v>2.357142857</v>
      </c>
      <c r="I108" s="42">
        <f t="shared" si="123"/>
        <v>-0.170212766</v>
      </c>
      <c r="J108" s="42">
        <f>-0.1</f>
        <v>-0.1</v>
      </c>
      <c r="K108" s="42">
        <v>-0.084</v>
      </c>
      <c r="L108" s="42">
        <v>-0.092</v>
      </c>
      <c r="M108" s="42">
        <v>-0.081</v>
      </c>
      <c r="N108" s="42">
        <v>-0.105</v>
      </c>
      <c r="P108" s="2" t="s">
        <v>171</v>
      </c>
    </row>
    <row r="109" ht="15.75" customHeight="1">
      <c r="A109" s="41" t="s">
        <v>146</v>
      </c>
      <c r="B109" s="42">
        <f t="shared" ref="B109:N109" si="124">+IFERROR(B107/B$83,"nm")</f>
        <v>0.02249755461</v>
      </c>
      <c r="C109" s="42">
        <f t="shared" si="124"/>
        <v>0.01162483487</v>
      </c>
      <c r="D109" s="42">
        <f t="shared" si="124"/>
        <v>0.0120368185</v>
      </c>
      <c r="E109" s="42">
        <f t="shared" si="124"/>
        <v>0.0148032723</v>
      </c>
      <c r="F109" s="42">
        <f t="shared" si="124"/>
        <v>0.007893041237</v>
      </c>
      <c r="G109" s="42">
        <f t="shared" si="124"/>
        <v>0.004192244348</v>
      </c>
      <c r="H109" s="42">
        <f t="shared" si="124"/>
        <v>0.01133896261</v>
      </c>
      <c r="I109" s="42">
        <f t="shared" si="124"/>
        <v>0.01033523254</v>
      </c>
      <c r="J109" s="42">
        <f t="shared" si="124"/>
        <v>0.009135450624</v>
      </c>
      <c r="K109" s="42">
        <f t="shared" si="124"/>
        <v>0.008052760383</v>
      </c>
      <c r="L109" s="42">
        <f t="shared" si="124"/>
        <v>0.006787500118</v>
      </c>
      <c r="M109" s="42">
        <f t="shared" si="124"/>
        <v>0.005669740393</v>
      </c>
      <c r="N109" s="42">
        <f t="shared" si="124"/>
        <v>0.004560452178</v>
      </c>
    </row>
    <row r="110" ht="15.75" customHeight="1">
      <c r="A110" s="12" t="s">
        <v>149</v>
      </c>
      <c r="B110" s="12">
        <f>Historicals!B149</f>
        <v>254</v>
      </c>
      <c r="C110" s="12">
        <f>Historicals!C149</f>
        <v>234</v>
      </c>
      <c r="D110" s="12">
        <f>Historicals!D149</f>
        <v>225</v>
      </c>
      <c r="E110" s="12">
        <f>Historicals!E149</f>
        <v>256</v>
      </c>
      <c r="F110" s="12">
        <f>Historicals!F149</f>
        <v>237</v>
      </c>
      <c r="G110" s="12">
        <f>Historicals!G149</f>
        <v>214</v>
      </c>
      <c r="H110" s="12">
        <f>Historicals!H149</f>
        <v>288</v>
      </c>
      <c r="I110" s="12">
        <f>Historicals!I149</f>
        <v>303</v>
      </c>
      <c r="J110" s="12">
        <f t="shared" ref="J110:N110" si="125">I110*(1+J111)</f>
        <v>318.15</v>
      </c>
      <c r="K110" s="12">
        <f t="shared" si="125"/>
        <v>327.6945</v>
      </c>
      <c r="L110" s="12">
        <f t="shared" si="125"/>
        <v>333.593001</v>
      </c>
      <c r="M110" s="12">
        <f t="shared" si="125"/>
        <v>341.26564</v>
      </c>
      <c r="N110" s="12">
        <f t="shared" si="125"/>
        <v>338.8767805</v>
      </c>
    </row>
    <row r="111" ht="15.75" customHeight="1">
      <c r="A111" s="41" t="s">
        <v>142</v>
      </c>
      <c r="B111" s="42" t="str">
        <f t="shared" ref="B111:I111" si="126">+IFERROR(B110/A110-1,"nm")</f>
        <v>nm</v>
      </c>
      <c r="C111" s="42">
        <f t="shared" si="126"/>
        <v>-0.07874015748</v>
      </c>
      <c r="D111" s="42">
        <f t="shared" si="126"/>
        <v>-0.03846153846</v>
      </c>
      <c r="E111" s="42">
        <f t="shared" si="126"/>
        <v>0.1377777778</v>
      </c>
      <c r="F111" s="42">
        <f t="shared" si="126"/>
        <v>-0.07421875</v>
      </c>
      <c r="G111" s="42">
        <f t="shared" si="126"/>
        <v>-0.0970464135</v>
      </c>
      <c r="H111" s="42">
        <f t="shared" si="126"/>
        <v>0.3457943925</v>
      </c>
      <c r="I111" s="42">
        <f t="shared" si="126"/>
        <v>0.05208333333</v>
      </c>
      <c r="J111" s="42">
        <f>0.05</f>
        <v>0.05</v>
      </c>
      <c r="K111" s="42">
        <f>0.03</f>
        <v>0.03</v>
      </c>
      <c r="L111" s="42">
        <v>0.018</v>
      </c>
      <c r="M111" s="42">
        <v>0.023</v>
      </c>
      <c r="N111" s="42">
        <v>-0.007</v>
      </c>
      <c r="P111" s="2" t="s">
        <v>172</v>
      </c>
    </row>
    <row r="112" ht="15.75" customHeight="1">
      <c r="A112" s="41" t="s">
        <v>146</v>
      </c>
      <c r="B112" s="42">
        <f t="shared" ref="B112:N112" si="127">+IFERROR(B110/B$83,"nm")</f>
        <v>0.0828170851</v>
      </c>
      <c r="C112" s="42">
        <f t="shared" si="127"/>
        <v>0.06182298547</v>
      </c>
      <c r="D112" s="42">
        <f t="shared" si="127"/>
        <v>0.05310361105</v>
      </c>
      <c r="E112" s="42">
        <f t="shared" si="127"/>
        <v>0.04986365407</v>
      </c>
      <c r="F112" s="42">
        <f t="shared" si="127"/>
        <v>0.03817654639</v>
      </c>
      <c r="G112" s="42">
        <f t="shared" si="127"/>
        <v>0.03204072466</v>
      </c>
      <c r="H112" s="42">
        <f t="shared" si="127"/>
        <v>0.03474065139</v>
      </c>
      <c r="I112" s="42">
        <f t="shared" si="127"/>
        <v>0.04014840334</v>
      </c>
      <c r="J112" s="42">
        <f t="shared" si="127"/>
        <v>0.04140233071</v>
      </c>
      <c r="K112" s="42">
        <f t="shared" si="127"/>
        <v>0.04103754226</v>
      </c>
      <c r="L112" s="42">
        <f t="shared" si="127"/>
        <v>0.03878004834</v>
      </c>
      <c r="M112" s="42">
        <f t="shared" si="127"/>
        <v>0.03605967366</v>
      </c>
      <c r="N112" s="42">
        <f t="shared" si="127"/>
        <v>0.03218049628</v>
      </c>
    </row>
    <row r="113" ht="15.75" customHeight="1">
      <c r="A113" s="43" t="s">
        <v>119</v>
      </c>
      <c r="B113" s="43"/>
      <c r="C113" s="43"/>
      <c r="D113" s="43"/>
      <c r="E113" s="43"/>
      <c r="F113" s="43"/>
      <c r="G113" s="43"/>
      <c r="H113" s="43"/>
      <c r="I113" s="43"/>
      <c r="J113" s="39"/>
      <c r="K113" s="39"/>
      <c r="L113" s="39"/>
      <c r="M113" s="39"/>
      <c r="N113" s="39"/>
    </row>
    <row r="114" ht="15.75" customHeight="1">
      <c r="A114" s="12" t="s">
        <v>150</v>
      </c>
      <c r="B114" s="12">
        <f>Historicals!B121</f>
        <v>4653</v>
      </c>
      <c r="C114" s="12">
        <f>Historicals!C121</f>
        <v>4570</v>
      </c>
      <c r="D114" s="12">
        <f>Historicals!D121</f>
        <v>4737</v>
      </c>
      <c r="E114" s="12">
        <f>Historicals!E121</f>
        <v>5166</v>
      </c>
      <c r="F114" s="12">
        <f>Historicals!F121</f>
        <v>5254</v>
      </c>
      <c r="G114" s="12">
        <f>Historicals!G121</f>
        <v>5028</v>
      </c>
      <c r="H114" s="12">
        <f>Historicals!H121</f>
        <v>5343</v>
      </c>
      <c r="I114" s="12">
        <f>Historicals!I121</f>
        <v>5955</v>
      </c>
      <c r="J114" s="12">
        <f>I114*(1+J115)</f>
        <v>6986.720809</v>
      </c>
      <c r="K114" s="12">
        <f t="shared" ref="K114:N114" si="128">+SUM(K116+K120+K124)</f>
        <v>6785.33176</v>
      </c>
      <c r="L114" s="12">
        <f t="shared" si="128"/>
        <v>7350.999962</v>
      </c>
      <c r="M114" s="12">
        <f t="shared" si="128"/>
        <v>7999.34163</v>
      </c>
      <c r="N114" s="12">
        <f t="shared" si="128"/>
        <v>8694.568229</v>
      </c>
    </row>
    <row r="115" ht="15.75" customHeight="1">
      <c r="A115" s="41" t="s">
        <v>142</v>
      </c>
      <c r="B115" s="42" t="str">
        <f t="shared" ref="B115:I115" si="129">+IFERROR(B114/A114-1,"nm")</f>
        <v>nm</v>
      </c>
      <c r="C115" s="42">
        <f t="shared" si="129"/>
        <v>-0.01783795401</v>
      </c>
      <c r="D115" s="42">
        <f t="shared" si="129"/>
        <v>0.03654266958</v>
      </c>
      <c r="E115" s="42">
        <f t="shared" si="129"/>
        <v>0.09056364788</v>
      </c>
      <c r="F115" s="42">
        <f t="shared" si="129"/>
        <v>0.01703445606</v>
      </c>
      <c r="G115" s="42">
        <f t="shared" si="129"/>
        <v>-0.04301484583</v>
      </c>
      <c r="H115" s="42">
        <f t="shared" si="129"/>
        <v>0.06264916468</v>
      </c>
      <c r="I115" s="42">
        <f t="shared" si="129"/>
        <v>0.1145423919</v>
      </c>
      <c r="J115" s="42">
        <f>((1.16*1.34*1.15*1.06)^0.25)-1</f>
        <v>0.1732528647</v>
      </c>
      <c r="K115" s="42">
        <f t="shared" ref="K115:N115" si="130">+IFERROR(K114/J114-1,"nm")</f>
        <v>-0.02882454516</v>
      </c>
      <c r="L115" s="42">
        <f t="shared" si="130"/>
        <v>0.08336632932</v>
      </c>
      <c r="M115" s="42">
        <f t="shared" si="130"/>
        <v>0.08819775151</v>
      </c>
      <c r="N115" s="42">
        <f t="shared" si="130"/>
        <v>0.08691047728</v>
      </c>
      <c r="P115" s="2" t="s">
        <v>151</v>
      </c>
    </row>
    <row r="116" ht="15.75" customHeight="1">
      <c r="A116" s="44" t="s">
        <v>114</v>
      </c>
      <c r="B116" s="9">
        <f>Historicals!B122</f>
        <v>3093</v>
      </c>
      <c r="C116" s="9">
        <f>Historicals!C122</f>
        <v>3106</v>
      </c>
      <c r="D116" s="9">
        <f>Historicals!D122</f>
        <v>3285</v>
      </c>
      <c r="E116" s="9">
        <f>Historicals!E122</f>
        <v>3575</v>
      </c>
      <c r="F116" s="9">
        <f>Historicals!F122</f>
        <v>3622</v>
      </c>
      <c r="G116" s="9">
        <f>Historicals!G122</f>
        <v>3449</v>
      </c>
      <c r="H116" s="9">
        <f>Historicals!H122</f>
        <v>3659</v>
      </c>
      <c r="I116" s="9">
        <f>Historicals!I122</f>
        <v>4111</v>
      </c>
      <c r="J116" s="9">
        <f t="shared" ref="J116:N116" si="131">+I116*(1+J117)</f>
        <v>4357.66</v>
      </c>
      <c r="K116" s="9">
        <f t="shared" si="131"/>
        <v>4710.63046</v>
      </c>
      <c r="L116" s="9">
        <f t="shared" si="131"/>
        <v>5120.45531</v>
      </c>
      <c r="M116" s="9">
        <f t="shared" si="131"/>
        <v>5596.657654</v>
      </c>
      <c r="N116" s="9">
        <f t="shared" si="131"/>
        <v>6089.163527</v>
      </c>
    </row>
    <row r="117" ht="15.75" customHeight="1">
      <c r="A117" s="41" t="s">
        <v>142</v>
      </c>
      <c r="B117" s="42" t="str">
        <f t="shared" ref="B117:I117" si="132">+IFERROR(B116/A116-1,"nm")</f>
        <v>nm</v>
      </c>
      <c r="C117" s="42">
        <f t="shared" si="132"/>
        <v>0.004203039121</v>
      </c>
      <c r="D117" s="42">
        <f t="shared" si="132"/>
        <v>0.05763039279</v>
      </c>
      <c r="E117" s="42">
        <f t="shared" si="132"/>
        <v>0.08828006088</v>
      </c>
      <c r="F117" s="42">
        <f t="shared" si="132"/>
        <v>0.01314685315</v>
      </c>
      <c r="G117" s="42">
        <f t="shared" si="132"/>
        <v>-0.04776366648</v>
      </c>
      <c r="H117" s="42">
        <f t="shared" si="132"/>
        <v>0.06088721369</v>
      </c>
      <c r="I117" s="42">
        <f t="shared" si="132"/>
        <v>0.1235310194</v>
      </c>
      <c r="J117" s="42">
        <f t="shared" ref="J117:N117" si="133">+J118+J119</f>
        <v>0.06</v>
      </c>
      <c r="K117" s="42">
        <f t="shared" si="133"/>
        <v>0.081</v>
      </c>
      <c r="L117" s="42">
        <f t="shared" si="133"/>
        <v>0.087</v>
      </c>
      <c r="M117" s="42">
        <f t="shared" si="133"/>
        <v>0.093</v>
      </c>
      <c r="N117" s="42">
        <f t="shared" si="133"/>
        <v>0.088</v>
      </c>
      <c r="P117" s="2" t="s">
        <v>173</v>
      </c>
    </row>
    <row r="118" ht="15.75" customHeight="1">
      <c r="A118" s="41" t="s">
        <v>153</v>
      </c>
      <c r="B118" s="42">
        <f>Historicals!B194</f>
        <v>0.32</v>
      </c>
      <c r="C118" s="42">
        <f>Historicals!C194</f>
        <v>0.48</v>
      </c>
      <c r="D118" s="42">
        <f>Historicals!D194</f>
        <v>0.24</v>
      </c>
      <c r="E118" s="42">
        <f>Historicals!E194</f>
        <v>0.09</v>
      </c>
      <c r="F118" s="42">
        <f>Historicals!F194</f>
        <v>0.12</v>
      </c>
      <c r="G118" s="42">
        <f>Historicals!G194</f>
        <v>0</v>
      </c>
      <c r="H118" s="42">
        <f>Historicals!H194</f>
        <v>0.08</v>
      </c>
      <c r="I118" s="42">
        <f>Historicals!I194</f>
        <v>0.17</v>
      </c>
      <c r="J118" s="45">
        <v>0.06</v>
      </c>
      <c r="K118" s="45">
        <v>0.081</v>
      </c>
      <c r="L118" s="45">
        <v>0.087</v>
      </c>
      <c r="M118" s="45">
        <v>0.093</v>
      </c>
      <c r="N118" s="45">
        <v>0.088</v>
      </c>
    </row>
    <row r="119" ht="15.75" customHeight="1">
      <c r="A119" s="41" t="s">
        <v>154</v>
      </c>
      <c r="B119" s="42" t="str">
        <f t="shared" ref="B119:I119" si="134">+IFERROR(B117-B118,"nm")</f>
        <v>nm</v>
      </c>
      <c r="C119" s="42">
        <f t="shared" si="134"/>
        <v>-0.4757969609</v>
      </c>
      <c r="D119" s="42">
        <f t="shared" si="134"/>
        <v>-0.1823696072</v>
      </c>
      <c r="E119" s="42">
        <f t="shared" si="134"/>
        <v>-0.001719939117</v>
      </c>
      <c r="F119" s="42">
        <f t="shared" si="134"/>
        <v>-0.1068531469</v>
      </c>
      <c r="G119" s="42">
        <f t="shared" si="134"/>
        <v>-0.04776366648</v>
      </c>
      <c r="H119" s="42">
        <f t="shared" si="134"/>
        <v>-0.01911278631</v>
      </c>
      <c r="I119" s="42">
        <f t="shared" si="134"/>
        <v>-0.0464689806</v>
      </c>
      <c r="J119" s="45">
        <v>0.0</v>
      </c>
      <c r="K119" s="45">
        <v>0.0</v>
      </c>
      <c r="L119" s="45">
        <v>0.0</v>
      </c>
      <c r="M119" s="45">
        <v>0.0</v>
      </c>
      <c r="N119" s="45">
        <v>0.0</v>
      </c>
    </row>
    <row r="120" ht="15.75" customHeight="1">
      <c r="A120" s="44" t="s">
        <v>115</v>
      </c>
      <c r="B120" s="9">
        <f>Historicals!B123</f>
        <v>1251</v>
      </c>
      <c r="C120" s="9">
        <f>Historicals!C123</f>
        <v>1175</v>
      </c>
      <c r="D120" s="9">
        <f>Historicals!D123</f>
        <v>1185</v>
      </c>
      <c r="E120" s="9">
        <f>Historicals!E123</f>
        <v>1347</v>
      </c>
      <c r="F120" s="9">
        <f>Historicals!F123</f>
        <v>1395</v>
      </c>
      <c r="G120" s="9">
        <f>Historicals!G123</f>
        <v>1365</v>
      </c>
      <c r="H120" s="9">
        <f>Historicals!H123</f>
        <v>1494</v>
      </c>
      <c r="I120" s="9">
        <f>Historicals!I123</f>
        <v>1610</v>
      </c>
      <c r="J120" s="9">
        <f t="shared" ref="J120:N120" si="135">+I120*(1+J121)</f>
        <v>1690.5</v>
      </c>
      <c r="K120" s="9">
        <f t="shared" si="135"/>
        <v>1793.6205</v>
      </c>
      <c r="L120" s="9">
        <f t="shared" si="135"/>
        <v>1922.761176</v>
      </c>
      <c r="M120" s="9">
        <f t="shared" si="135"/>
        <v>2065.045503</v>
      </c>
      <c r="N120" s="9">
        <f t="shared" si="135"/>
        <v>2232.314189</v>
      </c>
    </row>
    <row r="121" ht="15.75" customHeight="1">
      <c r="A121" s="41" t="s">
        <v>142</v>
      </c>
      <c r="B121" s="42" t="str">
        <f t="shared" ref="B121:I121" si="136">+IFERROR(B120/A120-1,"nm")</f>
        <v>nm</v>
      </c>
      <c r="C121" s="42">
        <f t="shared" si="136"/>
        <v>-0.06075139888</v>
      </c>
      <c r="D121" s="42">
        <f t="shared" si="136"/>
        <v>0.008510638298</v>
      </c>
      <c r="E121" s="42">
        <f t="shared" si="136"/>
        <v>0.1367088608</v>
      </c>
      <c r="F121" s="42">
        <f t="shared" si="136"/>
        <v>0.03563474388</v>
      </c>
      <c r="G121" s="42">
        <f t="shared" si="136"/>
        <v>-0.02150537634</v>
      </c>
      <c r="H121" s="42">
        <f t="shared" si="136"/>
        <v>0.09450549451</v>
      </c>
      <c r="I121" s="42">
        <f t="shared" si="136"/>
        <v>0.07764390897</v>
      </c>
      <c r="J121" s="42">
        <f t="shared" ref="J121:N121" si="137">+J122+J123</f>
        <v>0.05</v>
      </c>
      <c r="K121" s="42">
        <f t="shared" si="137"/>
        <v>0.061</v>
      </c>
      <c r="L121" s="42">
        <f t="shared" si="137"/>
        <v>0.072</v>
      </c>
      <c r="M121" s="42">
        <f t="shared" si="137"/>
        <v>0.074</v>
      </c>
      <c r="N121" s="42">
        <f t="shared" si="137"/>
        <v>0.081</v>
      </c>
      <c r="P121" s="2" t="s">
        <v>173</v>
      </c>
    </row>
    <row r="122" ht="15.75" customHeight="1">
      <c r="A122" s="41" t="s">
        <v>153</v>
      </c>
      <c r="B122" s="42">
        <f>Historicals!B195</f>
        <v>-0.03</v>
      </c>
      <c r="C122" s="42">
        <f>Historicals!C195</f>
        <v>0.16</v>
      </c>
      <c r="D122" s="42">
        <f>Historicals!D195</f>
        <v>0.18</v>
      </c>
      <c r="E122" s="42">
        <f>Historicals!E195</f>
        <v>0.15</v>
      </c>
      <c r="F122" s="42">
        <f>Historicals!F195</f>
        <v>0.15</v>
      </c>
      <c r="G122" s="42">
        <f>Historicals!G195</f>
        <v>0.02</v>
      </c>
      <c r="H122" s="42">
        <f>Historicals!H195</f>
        <v>0.1</v>
      </c>
      <c r="I122" s="42">
        <f>Historicals!I195</f>
        <v>0.12</v>
      </c>
      <c r="J122" s="45">
        <v>0.05</v>
      </c>
      <c r="K122" s="45">
        <v>0.061</v>
      </c>
      <c r="L122" s="45">
        <v>0.072</v>
      </c>
      <c r="M122" s="45">
        <v>0.074</v>
      </c>
      <c r="N122" s="45">
        <v>0.081</v>
      </c>
    </row>
    <row r="123" ht="15.75" customHeight="1">
      <c r="A123" s="41" t="s">
        <v>154</v>
      </c>
      <c r="B123" s="42" t="str">
        <f t="shared" ref="B123:I123" si="138">+IFERROR(B121-B122,"nm")</f>
        <v>nm</v>
      </c>
      <c r="C123" s="42">
        <f t="shared" si="138"/>
        <v>-0.2207513989</v>
      </c>
      <c r="D123" s="42">
        <f t="shared" si="138"/>
        <v>-0.1714893617</v>
      </c>
      <c r="E123" s="42">
        <f t="shared" si="138"/>
        <v>-0.01329113924</v>
      </c>
      <c r="F123" s="42">
        <f t="shared" si="138"/>
        <v>-0.1143652561</v>
      </c>
      <c r="G123" s="42">
        <f t="shared" si="138"/>
        <v>-0.04150537634</v>
      </c>
      <c r="H123" s="42">
        <f t="shared" si="138"/>
        <v>-0.005494505495</v>
      </c>
      <c r="I123" s="42">
        <f t="shared" si="138"/>
        <v>-0.04235609103</v>
      </c>
      <c r="J123" s="45">
        <v>0.0</v>
      </c>
      <c r="K123" s="45">
        <v>0.0</v>
      </c>
      <c r="L123" s="45">
        <v>0.0</v>
      </c>
      <c r="M123" s="45">
        <v>0.0</v>
      </c>
      <c r="N123" s="45">
        <v>0.0</v>
      </c>
    </row>
    <row r="124" ht="15.75" customHeight="1">
      <c r="A124" s="44" t="s">
        <v>116</v>
      </c>
      <c r="B124" s="9">
        <f>Historicals!B124</f>
        <v>309</v>
      </c>
      <c r="C124" s="9">
        <f>Historicals!C124</f>
        <v>289</v>
      </c>
      <c r="D124" s="9">
        <f>Historicals!D124</f>
        <v>267</v>
      </c>
      <c r="E124" s="9">
        <f>Historicals!E124</f>
        <v>244</v>
      </c>
      <c r="F124" s="9">
        <f>Historicals!F124</f>
        <v>237</v>
      </c>
      <c r="G124" s="9">
        <f>Historicals!G124</f>
        <v>214</v>
      </c>
      <c r="H124" s="9">
        <f>Historicals!H124</f>
        <v>190</v>
      </c>
      <c r="I124" s="9">
        <f>Historicals!I124</f>
        <v>234</v>
      </c>
      <c r="J124" s="9">
        <f t="shared" ref="J124:N124" si="139">+I124*(1+J125)</f>
        <v>257.4</v>
      </c>
      <c r="K124" s="9">
        <f t="shared" si="139"/>
        <v>281.0808</v>
      </c>
      <c r="L124" s="9">
        <f t="shared" si="139"/>
        <v>307.783476</v>
      </c>
      <c r="M124" s="9">
        <f t="shared" si="139"/>
        <v>337.6384732</v>
      </c>
      <c r="N124" s="9">
        <f t="shared" si="139"/>
        <v>373.0905129</v>
      </c>
    </row>
    <row r="125" ht="15.75" customHeight="1">
      <c r="A125" s="41" t="s">
        <v>142</v>
      </c>
      <c r="B125" s="42" t="str">
        <f t="shared" ref="B125:I125" si="140">+IFERROR(B124/A124-1,"nm")</f>
        <v>nm</v>
      </c>
      <c r="C125" s="42">
        <f t="shared" si="140"/>
        <v>-0.06472491909</v>
      </c>
      <c r="D125" s="42">
        <f t="shared" si="140"/>
        <v>-0.07612456747</v>
      </c>
      <c r="E125" s="42">
        <f t="shared" si="140"/>
        <v>-0.0861423221</v>
      </c>
      <c r="F125" s="42">
        <f t="shared" si="140"/>
        <v>-0.02868852459</v>
      </c>
      <c r="G125" s="42">
        <f t="shared" si="140"/>
        <v>-0.0970464135</v>
      </c>
      <c r="H125" s="42">
        <f t="shared" si="140"/>
        <v>-0.1121495327</v>
      </c>
      <c r="I125" s="42">
        <f t="shared" si="140"/>
        <v>0.2315789474</v>
      </c>
      <c r="J125" s="42">
        <f t="shared" ref="J125:N125" si="141">+J126+J127</f>
        <v>0.1</v>
      </c>
      <c r="K125" s="42">
        <f t="shared" si="141"/>
        <v>0.092</v>
      </c>
      <c r="L125" s="42">
        <f t="shared" si="141"/>
        <v>0.095</v>
      </c>
      <c r="M125" s="42">
        <f t="shared" si="141"/>
        <v>0.097</v>
      </c>
      <c r="N125" s="42">
        <f t="shared" si="141"/>
        <v>0.105</v>
      </c>
      <c r="P125" s="2" t="s">
        <v>173</v>
      </c>
    </row>
    <row r="126" ht="15.75" customHeight="1">
      <c r="A126" s="41" t="s">
        <v>153</v>
      </c>
      <c r="B126" s="42">
        <f>Historicals!B196</f>
        <v>-0.01</v>
      </c>
      <c r="C126" s="42">
        <f>Historicals!C196</f>
        <v>0.14</v>
      </c>
      <c r="D126" s="42">
        <f>Historicals!D196</f>
        <v>-0.04</v>
      </c>
      <c r="E126" s="42">
        <f>Historicals!E196</f>
        <v>-0.08</v>
      </c>
      <c r="F126" s="42">
        <f>Historicals!F196</f>
        <v>0.08</v>
      </c>
      <c r="G126" s="42">
        <f>Historicals!G196</f>
        <v>-0.04</v>
      </c>
      <c r="H126" s="42">
        <f>Historicals!H196</f>
        <v>-0.09</v>
      </c>
      <c r="I126" s="42">
        <f>Historicals!I196</f>
        <v>0.28</v>
      </c>
      <c r="J126" s="45">
        <v>0.1</v>
      </c>
      <c r="K126" s="45">
        <v>0.092</v>
      </c>
      <c r="L126" s="45">
        <v>0.095</v>
      </c>
      <c r="M126" s="45">
        <v>0.097</v>
      </c>
      <c r="N126" s="45">
        <v>0.105</v>
      </c>
    </row>
    <row r="127" ht="15.75" customHeight="1">
      <c r="A127" s="41" t="s">
        <v>154</v>
      </c>
      <c r="B127" s="42" t="str">
        <f t="shared" ref="B127:I127" si="142">+IFERROR(B125-B126,"nm")</f>
        <v>nm</v>
      </c>
      <c r="C127" s="42">
        <f t="shared" si="142"/>
        <v>-0.2047249191</v>
      </c>
      <c r="D127" s="42">
        <f t="shared" si="142"/>
        <v>-0.03612456747</v>
      </c>
      <c r="E127" s="42">
        <f t="shared" si="142"/>
        <v>-0.006142322097</v>
      </c>
      <c r="F127" s="42">
        <f t="shared" si="142"/>
        <v>-0.1086885246</v>
      </c>
      <c r="G127" s="42">
        <f t="shared" si="142"/>
        <v>-0.0570464135</v>
      </c>
      <c r="H127" s="42">
        <f t="shared" si="142"/>
        <v>-0.02214953271</v>
      </c>
      <c r="I127" s="42">
        <f t="shared" si="142"/>
        <v>-0.04842105263</v>
      </c>
      <c r="J127" s="45">
        <v>0.0</v>
      </c>
      <c r="K127" s="45">
        <v>0.0</v>
      </c>
      <c r="L127" s="45">
        <v>0.0</v>
      </c>
      <c r="M127" s="45">
        <v>0.0</v>
      </c>
      <c r="N127" s="45">
        <v>0.0</v>
      </c>
    </row>
    <row r="128" ht="15.75" customHeight="1">
      <c r="A128" s="12" t="s">
        <v>143</v>
      </c>
      <c r="B128" s="12">
        <f t="shared" ref="B128:I128" si="143">B135+B131</f>
        <v>967</v>
      </c>
      <c r="C128" s="12">
        <f t="shared" si="143"/>
        <v>1045</v>
      </c>
      <c r="D128" s="12">
        <f t="shared" si="143"/>
        <v>1036</v>
      </c>
      <c r="E128" s="12">
        <f t="shared" si="143"/>
        <v>1244</v>
      </c>
      <c r="F128" s="12">
        <f t="shared" si="143"/>
        <v>1376</v>
      </c>
      <c r="G128" s="12">
        <f t="shared" si="143"/>
        <v>1230</v>
      </c>
      <c r="H128" s="12">
        <f t="shared" si="143"/>
        <v>1573</v>
      </c>
      <c r="I128" s="12">
        <f t="shared" si="143"/>
        <v>1938</v>
      </c>
      <c r="J128" s="12">
        <f t="shared" ref="J128:N128" si="144">J130*J114</f>
        <v>1985.626054</v>
      </c>
      <c r="K128" s="12">
        <f t="shared" si="144"/>
        <v>1988.102206</v>
      </c>
      <c r="L128" s="12">
        <f t="shared" si="144"/>
        <v>2208.240389</v>
      </c>
      <c r="M128" s="12">
        <f t="shared" si="144"/>
        <v>2479.795905</v>
      </c>
      <c r="N128" s="12">
        <f t="shared" si="144"/>
        <v>2695.316151</v>
      </c>
    </row>
    <row r="129" ht="15.75" customHeight="1">
      <c r="A129" s="41" t="s">
        <v>142</v>
      </c>
      <c r="B129" s="42" t="str">
        <f t="shared" ref="B129:I129" si="145">+IFERROR(B128/A128-1,"nm")</f>
        <v>nm</v>
      </c>
      <c r="C129" s="42">
        <f t="shared" si="145"/>
        <v>0.08066184074</v>
      </c>
      <c r="D129" s="42">
        <f t="shared" si="145"/>
        <v>-0.008612440191</v>
      </c>
      <c r="E129" s="42">
        <f t="shared" si="145"/>
        <v>0.2007722008</v>
      </c>
      <c r="F129" s="42">
        <f t="shared" si="145"/>
        <v>0.1061093248</v>
      </c>
      <c r="G129" s="42">
        <f t="shared" si="145"/>
        <v>-0.1061046512</v>
      </c>
      <c r="H129" s="42">
        <f t="shared" si="145"/>
        <v>0.2788617886</v>
      </c>
      <c r="I129" s="42">
        <f t="shared" si="145"/>
        <v>0.2320406866</v>
      </c>
      <c r="J129" s="42">
        <f t="shared" ref="J129:N129" si="146">(J128-I128)/(I128)</f>
        <v>0.02457484729</v>
      </c>
      <c r="K129" s="42">
        <f t="shared" si="146"/>
        <v>0.001247038244</v>
      </c>
      <c r="L129" s="42">
        <f t="shared" si="146"/>
        <v>0.1107277997</v>
      </c>
      <c r="M129" s="42">
        <f t="shared" si="146"/>
        <v>0.1229737116</v>
      </c>
      <c r="N129" s="42">
        <f t="shared" si="146"/>
        <v>0.08691047728</v>
      </c>
    </row>
    <row r="130" ht="15.75" customHeight="1">
      <c r="A130" s="41" t="s">
        <v>144</v>
      </c>
      <c r="B130" s="47">
        <f t="shared" ref="B130:I130" si="147">+IFERROR(B128/B$114,"nm")</f>
        <v>0.20782291</v>
      </c>
      <c r="C130" s="47">
        <f t="shared" si="147"/>
        <v>0.2286652079</v>
      </c>
      <c r="D130" s="47">
        <f t="shared" si="147"/>
        <v>0.218703821</v>
      </c>
      <c r="E130" s="47">
        <f t="shared" si="147"/>
        <v>0.2408052652</v>
      </c>
      <c r="F130" s="47">
        <f t="shared" si="147"/>
        <v>0.2618956985</v>
      </c>
      <c r="G130" s="47">
        <f t="shared" si="147"/>
        <v>0.2446300716</v>
      </c>
      <c r="H130" s="47">
        <f t="shared" si="147"/>
        <v>0.2944038929</v>
      </c>
      <c r="I130" s="47">
        <f t="shared" si="147"/>
        <v>0.325440806</v>
      </c>
      <c r="J130" s="47">
        <v>0.2842</v>
      </c>
      <c r="K130" s="47">
        <v>0.293</v>
      </c>
      <c r="L130" s="47">
        <v>0.3004</v>
      </c>
      <c r="M130" s="47">
        <v>0.31</v>
      </c>
      <c r="N130" s="45">
        <f>+M130</f>
        <v>0.31</v>
      </c>
    </row>
    <row r="131" ht="15.75" customHeight="1">
      <c r="A131" s="12" t="s">
        <v>145</v>
      </c>
      <c r="B131" s="12">
        <f>Historicals!B172</f>
        <v>49</v>
      </c>
      <c r="C131" s="12">
        <f>Historicals!C172</f>
        <v>43</v>
      </c>
      <c r="D131" s="12">
        <f>Historicals!D172</f>
        <v>56</v>
      </c>
      <c r="E131" s="12">
        <f>Historicals!E172</f>
        <v>55</v>
      </c>
      <c r="F131" s="12">
        <f>Historicals!F172</f>
        <v>53</v>
      </c>
      <c r="G131" s="12">
        <f>Historicals!G172</f>
        <v>46</v>
      </c>
      <c r="H131" s="12">
        <f>Historicals!H172</f>
        <v>43</v>
      </c>
      <c r="I131" s="12">
        <f>Historicals!I172</f>
        <v>42</v>
      </c>
      <c r="J131" s="12">
        <f t="shared" ref="J131:N131" si="148">I131*(1+J132)</f>
        <v>42.84</v>
      </c>
      <c r="K131" s="12">
        <f t="shared" si="148"/>
        <v>44.16804</v>
      </c>
      <c r="L131" s="12">
        <f t="shared" si="148"/>
        <v>46.11143376</v>
      </c>
      <c r="M131" s="12">
        <f t="shared" si="148"/>
        <v>48.09422541</v>
      </c>
      <c r="N131" s="12">
        <f t="shared" si="148"/>
        <v>50.78750203</v>
      </c>
    </row>
    <row r="132" ht="15.75" customHeight="1">
      <c r="A132" s="41" t="s">
        <v>142</v>
      </c>
      <c r="B132" s="42" t="str">
        <f t="shared" ref="B132:I132" si="149">+IFERROR(B131/A131-1,"nm")</f>
        <v>nm</v>
      </c>
      <c r="C132" s="42">
        <f t="shared" si="149"/>
        <v>-0.1224489796</v>
      </c>
      <c r="D132" s="42">
        <f t="shared" si="149"/>
        <v>0.3023255814</v>
      </c>
      <c r="E132" s="42">
        <f t="shared" si="149"/>
        <v>-0.01785714286</v>
      </c>
      <c r="F132" s="42">
        <f t="shared" si="149"/>
        <v>-0.03636363636</v>
      </c>
      <c r="G132" s="42">
        <f t="shared" si="149"/>
        <v>-0.1320754717</v>
      </c>
      <c r="H132" s="42">
        <f t="shared" si="149"/>
        <v>-0.0652173913</v>
      </c>
      <c r="I132" s="42">
        <f t="shared" si="149"/>
        <v>-0.02325581395</v>
      </c>
      <c r="J132" s="42">
        <f>0.02</f>
        <v>0.02</v>
      </c>
      <c r="K132" s="42">
        <v>0.031</v>
      </c>
      <c r="L132" s="42">
        <v>0.044</v>
      </c>
      <c r="M132" s="42">
        <v>0.043</v>
      </c>
      <c r="N132" s="42">
        <v>0.056</v>
      </c>
      <c r="P132" s="2" t="s">
        <v>174</v>
      </c>
    </row>
    <row r="133" ht="15.75" customHeight="1">
      <c r="A133" s="41" t="s">
        <v>146</v>
      </c>
      <c r="B133" s="42">
        <f t="shared" ref="B133:N133" si="150">+IFERROR(B131/B$114,"nm")</f>
        <v>0.01053084032</v>
      </c>
      <c r="C133" s="42">
        <f t="shared" si="150"/>
        <v>0.009409190372</v>
      </c>
      <c r="D133" s="42">
        <f t="shared" si="150"/>
        <v>0.01182182816</v>
      </c>
      <c r="E133" s="42">
        <f t="shared" si="150"/>
        <v>0.01064653504</v>
      </c>
      <c r="F133" s="42">
        <f t="shared" si="150"/>
        <v>0.01008755234</v>
      </c>
      <c r="G133" s="42">
        <f t="shared" si="150"/>
        <v>0.009148766905</v>
      </c>
      <c r="H133" s="42">
        <f t="shared" si="150"/>
        <v>0.008047913157</v>
      </c>
      <c r="I133" s="42">
        <f t="shared" si="150"/>
        <v>0.007052896725</v>
      </c>
      <c r="J133" s="42">
        <f t="shared" si="150"/>
        <v>0.006131631873</v>
      </c>
      <c r="K133" s="42">
        <f t="shared" si="150"/>
        <v>0.006509341262</v>
      </c>
      <c r="L133" s="42">
        <f t="shared" si="150"/>
        <v>0.006272811046</v>
      </c>
      <c r="M133" s="42">
        <f t="shared" si="150"/>
        <v>0.006012272964</v>
      </c>
      <c r="N133" s="42">
        <f t="shared" si="150"/>
        <v>0.005841290872</v>
      </c>
    </row>
    <row r="134" ht="15.75" customHeight="1">
      <c r="A134" s="41" t="s">
        <v>159</v>
      </c>
      <c r="B134" s="42">
        <f t="shared" ref="B134:N134" si="151">+IFERROR(B131/B141,"nm")</f>
        <v>0.1590909091</v>
      </c>
      <c r="C134" s="42">
        <f t="shared" si="151"/>
        <v>0.1295180723</v>
      </c>
      <c r="D134" s="42">
        <f t="shared" si="151"/>
        <v>0.1632653061</v>
      </c>
      <c r="E134" s="42">
        <f t="shared" si="151"/>
        <v>0.1622418879</v>
      </c>
      <c r="F134" s="42">
        <f t="shared" si="151"/>
        <v>0.1625766871</v>
      </c>
      <c r="G134" s="42">
        <f t="shared" si="151"/>
        <v>0.1554054054</v>
      </c>
      <c r="H134" s="42">
        <f t="shared" si="151"/>
        <v>0.1414473684</v>
      </c>
      <c r="I134" s="42">
        <f t="shared" si="151"/>
        <v>0.1532846715</v>
      </c>
      <c r="J134" s="42">
        <f t="shared" si="151"/>
        <v>0.1532846715</v>
      </c>
      <c r="K134" s="42">
        <f t="shared" si="151"/>
        <v>0.1544833786</v>
      </c>
      <c r="L134" s="42">
        <f t="shared" si="151"/>
        <v>0.1578088525</v>
      </c>
      <c r="M134" s="42">
        <f t="shared" si="151"/>
        <v>0.159645619</v>
      </c>
      <c r="N134" s="42">
        <f t="shared" si="151"/>
        <v>0.1639939433</v>
      </c>
    </row>
    <row r="135" ht="15.75" customHeight="1">
      <c r="A135" s="12" t="s">
        <v>147</v>
      </c>
      <c r="B135" s="12">
        <f>Historicals!B139</f>
        <v>918</v>
      </c>
      <c r="C135" s="12">
        <f>Historicals!C139</f>
        <v>1002</v>
      </c>
      <c r="D135" s="12">
        <f>Historicals!D139</f>
        <v>980</v>
      </c>
      <c r="E135" s="12">
        <f>Historicals!E139</f>
        <v>1189</v>
      </c>
      <c r="F135" s="12">
        <f>Historicals!F139</f>
        <v>1323</v>
      </c>
      <c r="G135" s="12">
        <f>Historicals!G139</f>
        <v>1184</v>
      </c>
      <c r="H135" s="12">
        <f>Historicals!H139</f>
        <v>1530</v>
      </c>
      <c r="I135" s="12">
        <f>Historicals!I139</f>
        <v>1896</v>
      </c>
      <c r="J135" s="12">
        <f t="shared" ref="J135:N135" si="152">I135*(1+J136)</f>
        <v>1943.006869</v>
      </c>
      <c r="K135" s="12">
        <f t="shared" si="152"/>
        <v>2055.701268</v>
      </c>
      <c r="L135" s="12">
        <f t="shared" si="152"/>
        <v>2226.324473</v>
      </c>
      <c r="M135" s="12">
        <f t="shared" si="152"/>
        <v>2486.804436</v>
      </c>
      <c r="N135" s="12">
        <f t="shared" si="152"/>
        <v>2742.945293</v>
      </c>
    </row>
    <row r="136" ht="15.75" customHeight="1">
      <c r="A136" s="41" t="s">
        <v>142</v>
      </c>
      <c r="B136" s="42" t="str">
        <f t="shared" ref="B136:I136" si="153">+IFERROR(B135/A135-1,"nm")</f>
        <v>nm</v>
      </c>
      <c r="C136" s="42">
        <f t="shared" si="153"/>
        <v>0.09150326797</v>
      </c>
      <c r="D136" s="42">
        <f t="shared" si="153"/>
        <v>-0.02195608782</v>
      </c>
      <c r="E136" s="42">
        <f t="shared" si="153"/>
        <v>0.2132653061</v>
      </c>
      <c r="F136" s="42">
        <f t="shared" si="153"/>
        <v>0.1126997477</v>
      </c>
      <c r="G136" s="42">
        <f t="shared" si="153"/>
        <v>-0.1050642479</v>
      </c>
      <c r="H136" s="42">
        <f t="shared" si="153"/>
        <v>0.2922297297</v>
      </c>
      <c r="I136" s="42">
        <f t="shared" si="153"/>
        <v>0.2392156863</v>
      </c>
      <c r="J136" s="42">
        <f>((1.04*1.25*1.01*0.84)^0.25)-1</f>
        <v>0.02479265266</v>
      </c>
      <c r="K136" s="42">
        <v>0.058</v>
      </c>
      <c r="L136" s="42">
        <v>0.083</v>
      </c>
      <c r="M136" s="42">
        <v>0.117</v>
      </c>
      <c r="N136" s="42">
        <v>0.103</v>
      </c>
      <c r="P136" s="2" t="s">
        <v>151</v>
      </c>
    </row>
    <row r="137" ht="15.75" customHeight="1">
      <c r="A137" s="41" t="s">
        <v>144</v>
      </c>
      <c r="B137" s="42">
        <f t="shared" ref="B137:N137" si="154">+IFERROR(B135/B114,"nm")</f>
        <v>0.1972920696</v>
      </c>
      <c r="C137" s="42">
        <f t="shared" si="154"/>
        <v>0.2192560175</v>
      </c>
      <c r="D137" s="42">
        <f t="shared" si="154"/>
        <v>0.2068819928</v>
      </c>
      <c r="E137" s="42">
        <f t="shared" si="154"/>
        <v>0.2301587302</v>
      </c>
      <c r="F137" s="42">
        <f t="shared" si="154"/>
        <v>0.2518081462</v>
      </c>
      <c r="G137" s="42">
        <f t="shared" si="154"/>
        <v>0.2354813047</v>
      </c>
      <c r="H137" s="42">
        <f t="shared" si="154"/>
        <v>0.2863559798</v>
      </c>
      <c r="I137" s="42">
        <f t="shared" si="154"/>
        <v>0.3183879093</v>
      </c>
      <c r="J137" s="42">
        <f t="shared" si="154"/>
        <v>0.2780999731</v>
      </c>
      <c r="K137" s="42">
        <f t="shared" si="154"/>
        <v>0.3029625287</v>
      </c>
      <c r="L137" s="42">
        <f t="shared" si="154"/>
        <v>0.302860085</v>
      </c>
      <c r="M137" s="42">
        <f t="shared" si="154"/>
        <v>0.3108761385</v>
      </c>
      <c r="N137" s="42">
        <f t="shared" si="154"/>
        <v>0.3154780342</v>
      </c>
    </row>
    <row r="138" ht="15.75" customHeight="1">
      <c r="A138" s="12" t="s">
        <v>148</v>
      </c>
      <c r="B138" s="12">
        <f>Historicals!B161</f>
        <v>52</v>
      </c>
      <c r="C138" s="12">
        <f>Historicals!C161</f>
        <v>64</v>
      </c>
      <c r="D138" s="12">
        <f>Historicals!D161</f>
        <v>60</v>
      </c>
      <c r="E138" s="12">
        <f>Historicals!E161</f>
        <v>49</v>
      </c>
      <c r="F138" s="12">
        <f>Historicals!F161</f>
        <v>47</v>
      </c>
      <c r="G138" s="12">
        <f>Historicals!G161</f>
        <v>41</v>
      </c>
      <c r="H138" s="12">
        <f>Historicals!H161</f>
        <v>54</v>
      </c>
      <c r="I138" s="12">
        <f>Historicals!I161</f>
        <v>56</v>
      </c>
      <c r="J138" s="12">
        <f t="shared" ref="J138:N138" si="155">I138*(1+J139)</f>
        <v>58.8</v>
      </c>
      <c r="K138" s="12">
        <f t="shared" si="155"/>
        <v>62.4456</v>
      </c>
      <c r="L138" s="12">
        <f t="shared" si="155"/>
        <v>66.4421184</v>
      </c>
      <c r="M138" s="12">
        <f t="shared" si="155"/>
        <v>70.49508762</v>
      </c>
      <c r="N138" s="12">
        <f t="shared" si="155"/>
        <v>75.35924867</v>
      </c>
    </row>
    <row r="139" ht="15.75" customHeight="1">
      <c r="A139" s="41" t="s">
        <v>142</v>
      </c>
      <c r="B139" s="42" t="str">
        <f t="shared" ref="B139:I139" si="156">+IFERROR(B138/A138-1,"nm")</f>
        <v>nm</v>
      </c>
      <c r="C139" s="42">
        <f t="shared" si="156"/>
        <v>0.2307692308</v>
      </c>
      <c r="D139" s="42">
        <f t="shared" si="156"/>
        <v>-0.0625</v>
      </c>
      <c r="E139" s="42">
        <f t="shared" si="156"/>
        <v>-0.1833333333</v>
      </c>
      <c r="F139" s="42">
        <f t="shared" si="156"/>
        <v>-0.04081632653</v>
      </c>
      <c r="G139" s="42">
        <f t="shared" si="156"/>
        <v>-0.1276595745</v>
      </c>
      <c r="H139" s="42">
        <f t="shared" si="156"/>
        <v>0.3170731707</v>
      </c>
      <c r="I139" s="42">
        <f t="shared" si="156"/>
        <v>0.03703703704</v>
      </c>
      <c r="J139" s="42">
        <f>0.05</f>
        <v>0.05</v>
      </c>
      <c r="K139" s="42">
        <v>0.062</v>
      </c>
      <c r="L139" s="42">
        <v>0.064</v>
      </c>
      <c r="M139" s="42">
        <v>0.061</v>
      </c>
      <c r="N139" s="42">
        <v>0.069</v>
      </c>
      <c r="P139" s="2" t="s">
        <v>175</v>
      </c>
      <c r="Q139" s="2" t="s">
        <v>176</v>
      </c>
    </row>
    <row r="140" ht="15.75" customHeight="1">
      <c r="A140" s="41" t="s">
        <v>146</v>
      </c>
      <c r="B140" s="42">
        <f t="shared" ref="B140:N140" si="157">+IFERROR(B138/B$114,"nm")</f>
        <v>0.01117558564</v>
      </c>
      <c r="C140" s="42">
        <f t="shared" si="157"/>
        <v>0.01400437637</v>
      </c>
      <c r="D140" s="42">
        <f t="shared" si="157"/>
        <v>0.01266624446</v>
      </c>
      <c r="E140" s="42">
        <f t="shared" si="157"/>
        <v>0.009485094851</v>
      </c>
      <c r="F140" s="42">
        <f t="shared" si="157"/>
        <v>0.008945565284</v>
      </c>
      <c r="G140" s="42">
        <f t="shared" si="157"/>
        <v>0.00815433572</v>
      </c>
      <c r="H140" s="42">
        <f t="shared" si="157"/>
        <v>0.01010668164</v>
      </c>
      <c r="I140" s="42">
        <f t="shared" si="157"/>
        <v>0.009403862301</v>
      </c>
      <c r="J140" s="42">
        <f t="shared" si="157"/>
        <v>0.008415965315</v>
      </c>
      <c r="K140" s="42">
        <f t="shared" si="157"/>
        <v>0.009203028269</v>
      </c>
      <c r="L140" s="42">
        <f t="shared" si="157"/>
        <v>0.009038514317</v>
      </c>
      <c r="M140" s="42">
        <f t="shared" si="157"/>
        <v>0.008812611198</v>
      </c>
      <c r="N140" s="42">
        <f t="shared" si="157"/>
        <v>0.008667394019</v>
      </c>
    </row>
    <row r="141" ht="15.75" customHeight="1">
      <c r="A141" s="12" t="s">
        <v>149</v>
      </c>
      <c r="B141" s="12">
        <f>Historicals!B150</f>
        <v>308</v>
      </c>
      <c r="C141" s="12">
        <f>Historicals!C150</f>
        <v>332</v>
      </c>
      <c r="D141" s="12">
        <f>Historicals!D150</f>
        <v>343</v>
      </c>
      <c r="E141" s="12">
        <f>Historicals!E150</f>
        <v>339</v>
      </c>
      <c r="F141" s="12">
        <f>Historicals!F150</f>
        <v>326</v>
      </c>
      <c r="G141" s="12">
        <f>Historicals!G150</f>
        <v>296</v>
      </c>
      <c r="H141" s="12">
        <f>Historicals!H150</f>
        <v>304</v>
      </c>
      <c r="I141" s="12">
        <f>Historicals!I150</f>
        <v>274</v>
      </c>
      <c r="J141" s="12">
        <f t="shared" ref="J141:N141" si="158">I141*(1+J142)</f>
        <v>279.48</v>
      </c>
      <c r="K141" s="12">
        <f t="shared" si="158"/>
        <v>285.90804</v>
      </c>
      <c r="L141" s="12">
        <f t="shared" si="158"/>
        <v>292.1980169</v>
      </c>
      <c r="M141" s="12">
        <f t="shared" si="158"/>
        <v>301.2561554</v>
      </c>
      <c r="N141" s="12">
        <f t="shared" si="158"/>
        <v>309.6913278</v>
      </c>
    </row>
    <row r="142" ht="15.75" customHeight="1">
      <c r="A142" s="41" t="s">
        <v>142</v>
      </c>
      <c r="B142" s="42" t="str">
        <f t="shared" ref="B142:I142" si="159">+IFERROR(B141/A141-1,"nm")</f>
        <v>nm</v>
      </c>
      <c r="C142" s="42">
        <f t="shared" si="159"/>
        <v>0.07792207792</v>
      </c>
      <c r="D142" s="42">
        <f t="shared" si="159"/>
        <v>0.03313253012</v>
      </c>
      <c r="E142" s="42">
        <f t="shared" si="159"/>
        <v>-0.01166180758</v>
      </c>
      <c r="F142" s="42">
        <f t="shared" si="159"/>
        <v>-0.0383480826</v>
      </c>
      <c r="G142" s="42">
        <f t="shared" si="159"/>
        <v>-0.09202453988</v>
      </c>
      <c r="H142" s="42">
        <f t="shared" si="159"/>
        <v>0.02702702703</v>
      </c>
      <c r="I142" s="42">
        <f t="shared" si="159"/>
        <v>-0.09868421053</v>
      </c>
      <c r="J142" s="42">
        <f>0.02</f>
        <v>0.02</v>
      </c>
      <c r="K142" s="42">
        <v>0.023</v>
      </c>
      <c r="L142" s="42">
        <v>0.022</v>
      </c>
      <c r="M142" s="42">
        <v>0.031</v>
      </c>
      <c r="N142" s="42">
        <v>0.028</v>
      </c>
      <c r="P142" s="2" t="s">
        <v>177</v>
      </c>
    </row>
    <row r="143" ht="15.75" customHeight="1">
      <c r="A143" s="41" t="s">
        <v>146</v>
      </c>
      <c r="B143" s="42">
        <f t="shared" ref="B143:J143" si="160">+IFERROR(B141/B$114,"nm")</f>
        <v>0.06619385343</v>
      </c>
      <c r="C143" s="42">
        <f t="shared" si="160"/>
        <v>0.07264770241</v>
      </c>
      <c r="D143" s="42">
        <f t="shared" si="160"/>
        <v>0.07240869749</v>
      </c>
      <c r="E143" s="42">
        <f t="shared" si="160"/>
        <v>0.0656213705</v>
      </c>
      <c r="F143" s="42">
        <f t="shared" si="160"/>
        <v>0.06204796346</v>
      </c>
      <c r="G143" s="42">
        <f t="shared" si="160"/>
        <v>0.05887032617</v>
      </c>
      <c r="H143" s="42">
        <f t="shared" si="160"/>
        <v>0.05689687442</v>
      </c>
      <c r="I143" s="42">
        <f t="shared" si="160"/>
        <v>0.04601175483</v>
      </c>
      <c r="J143" s="42">
        <f t="shared" si="160"/>
        <v>0.04000159841</v>
      </c>
      <c r="K143" s="42">
        <f>K141/K114</f>
        <v>0.04213619173</v>
      </c>
      <c r="L143" s="42">
        <f t="shared" ref="L143:N143" si="161">+IFERROR(L141/L$114,"nm")</f>
        <v>0.03974942435</v>
      </c>
      <c r="M143" s="42">
        <f t="shared" si="161"/>
        <v>0.03766011871</v>
      </c>
      <c r="N143" s="42">
        <f t="shared" si="161"/>
        <v>0.03561894272</v>
      </c>
    </row>
    <row r="144" ht="15.75" customHeight="1">
      <c r="A144" s="43" t="s">
        <v>120</v>
      </c>
      <c r="B144" s="43"/>
      <c r="C144" s="43"/>
      <c r="D144" s="43"/>
      <c r="E144" s="43"/>
      <c r="F144" s="43"/>
      <c r="G144" s="43"/>
      <c r="H144" s="43"/>
      <c r="I144" s="43"/>
      <c r="J144" s="39"/>
      <c r="K144" s="39"/>
      <c r="L144" s="39"/>
      <c r="M144" s="39"/>
      <c r="N144" s="39"/>
    </row>
    <row r="145" ht="15.75" customHeight="1">
      <c r="A145" s="12" t="s">
        <v>150</v>
      </c>
      <c r="B145" s="12">
        <f>Historicals!B125</f>
        <v>115</v>
      </c>
      <c r="C145" s="12">
        <f>Historicals!C125</f>
        <v>73</v>
      </c>
      <c r="D145" s="12">
        <f>Historicals!D125</f>
        <v>73</v>
      </c>
      <c r="E145" s="12">
        <f>Historicals!E125</f>
        <v>88</v>
      </c>
      <c r="F145" s="12">
        <f>Historicals!F125</f>
        <v>42</v>
      </c>
      <c r="G145" s="12">
        <f>Historicals!G125</f>
        <v>30</v>
      </c>
      <c r="H145" s="12">
        <f>Historicals!H125</f>
        <v>25</v>
      </c>
      <c r="I145" s="12">
        <f>Historicals!I125</f>
        <v>102</v>
      </c>
      <c r="J145" s="12">
        <f t="shared" ref="J145:N145" si="162">I145*(1+J146)</f>
        <v>127.5</v>
      </c>
      <c r="K145" s="12">
        <f t="shared" si="162"/>
        <v>133.2375</v>
      </c>
      <c r="L145" s="12">
        <f t="shared" si="162"/>
        <v>144.2962125</v>
      </c>
      <c r="M145" s="12">
        <f t="shared" si="162"/>
        <v>155.2627247</v>
      </c>
      <c r="N145" s="12">
        <f t="shared" si="162"/>
        <v>164.2679627</v>
      </c>
    </row>
    <row r="146" ht="15.75" customHeight="1">
      <c r="A146" s="41" t="s">
        <v>142</v>
      </c>
      <c r="B146" s="42" t="str">
        <f t="shared" ref="B146:I146" si="163">+IFERROR(B145/A145-1,"nm")</f>
        <v>nm</v>
      </c>
      <c r="C146" s="42">
        <f t="shared" si="163"/>
        <v>-0.3652173913</v>
      </c>
      <c r="D146" s="42">
        <f t="shared" si="163"/>
        <v>0</v>
      </c>
      <c r="E146" s="42">
        <f t="shared" si="163"/>
        <v>0.2054794521</v>
      </c>
      <c r="F146" s="42">
        <f t="shared" si="163"/>
        <v>-0.5227272727</v>
      </c>
      <c r="G146" s="42">
        <f t="shared" si="163"/>
        <v>-0.2857142857</v>
      </c>
      <c r="H146" s="42">
        <f t="shared" si="163"/>
        <v>-0.1666666667</v>
      </c>
      <c r="I146" s="42">
        <f t="shared" si="163"/>
        <v>3.08</v>
      </c>
      <c r="J146" s="42">
        <f>0.25</f>
        <v>0.25</v>
      </c>
      <c r="K146" s="42">
        <v>0.045</v>
      </c>
      <c r="L146" s="42">
        <v>0.083</v>
      </c>
      <c r="M146" s="42">
        <v>0.076</v>
      </c>
      <c r="N146" s="42">
        <v>0.058</v>
      </c>
      <c r="P146" s="2" t="s">
        <v>178</v>
      </c>
    </row>
    <row r="147" ht="15.75" customHeight="1">
      <c r="A147" s="12" t="s">
        <v>143</v>
      </c>
      <c r="B147" s="12">
        <f t="shared" ref="B147:I147" si="164">B150+B154</f>
        <v>-2053</v>
      </c>
      <c r="C147" s="12">
        <f t="shared" si="164"/>
        <v>-2366</v>
      </c>
      <c r="D147" s="12">
        <f t="shared" si="164"/>
        <v>-2444</v>
      </c>
      <c r="E147" s="12">
        <f t="shared" si="164"/>
        <v>-2441</v>
      </c>
      <c r="F147" s="12">
        <f t="shared" si="164"/>
        <v>-3067</v>
      </c>
      <c r="G147" s="12">
        <f t="shared" si="164"/>
        <v>-3254</v>
      </c>
      <c r="H147" s="12">
        <f t="shared" si="164"/>
        <v>-3434</v>
      </c>
      <c r="I147" s="12">
        <f t="shared" si="164"/>
        <v>-4042</v>
      </c>
      <c r="J147" s="12">
        <f t="shared" ref="J147:N147" si="165">J149*J145</f>
        <v>-4378.554</v>
      </c>
      <c r="K147" s="12">
        <f t="shared" si="165"/>
        <v>-5016.391875</v>
      </c>
      <c r="L147" s="12">
        <f t="shared" si="165"/>
        <v>-4639.123232</v>
      </c>
      <c r="M147" s="12">
        <f t="shared" si="165"/>
        <v>-5331.970385</v>
      </c>
      <c r="N147" s="12">
        <f t="shared" si="165"/>
        <v>-6498.440604</v>
      </c>
    </row>
    <row r="148" ht="15.75" customHeight="1">
      <c r="A148" s="41" t="s">
        <v>142</v>
      </c>
      <c r="B148" s="42" t="str">
        <f t="shared" ref="B148:N148" si="166">+IFERROR(B147/A147-1,"nm")</f>
        <v>nm</v>
      </c>
      <c r="C148" s="42">
        <f t="shared" si="166"/>
        <v>0.1524598149</v>
      </c>
      <c r="D148" s="42">
        <f t="shared" si="166"/>
        <v>0.03296703297</v>
      </c>
      <c r="E148" s="42">
        <f t="shared" si="166"/>
        <v>-0.001227495908</v>
      </c>
      <c r="F148" s="42">
        <f t="shared" si="166"/>
        <v>0.2564522737</v>
      </c>
      <c r="G148" s="42">
        <f t="shared" si="166"/>
        <v>0.06097163352</v>
      </c>
      <c r="H148" s="42">
        <f t="shared" si="166"/>
        <v>0.0553165335</v>
      </c>
      <c r="I148" s="42">
        <f t="shared" si="166"/>
        <v>0.1770529994</v>
      </c>
      <c r="J148" s="42">
        <f t="shared" si="166"/>
        <v>0.08326422563</v>
      </c>
      <c r="K148" s="42">
        <f t="shared" si="166"/>
        <v>0.1456731777</v>
      </c>
      <c r="L148" s="42">
        <f t="shared" si="166"/>
        <v>-0.07520717131</v>
      </c>
      <c r="M148" s="42">
        <f t="shared" si="166"/>
        <v>0.1493487278</v>
      </c>
      <c r="N148" s="42">
        <f t="shared" si="166"/>
        <v>0.2187690731</v>
      </c>
    </row>
    <row r="149" ht="15.75" customHeight="1">
      <c r="A149" s="41" t="s">
        <v>144</v>
      </c>
      <c r="B149" s="47">
        <f t="shared" ref="B149:I149" si="167">+IFERROR(B147/B$145,"nm")</f>
        <v>-17.85217391</v>
      </c>
      <c r="C149" s="47">
        <f t="shared" si="167"/>
        <v>-32.4109589</v>
      </c>
      <c r="D149" s="47">
        <f t="shared" si="167"/>
        <v>-33.47945205</v>
      </c>
      <c r="E149" s="47">
        <f t="shared" si="167"/>
        <v>-27.73863636</v>
      </c>
      <c r="F149" s="47">
        <f t="shared" si="167"/>
        <v>-73.02380952</v>
      </c>
      <c r="G149" s="47">
        <f t="shared" si="167"/>
        <v>-108.4666667</v>
      </c>
      <c r="H149" s="47">
        <f t="shared" si="167"/>
        <v>-137.36</v>
      </c>
      <c r="I149" s="47">
        <f t="shared" si="167"/>
        <v>-39.62745098</v>
      </c>
      <c r="J149" s="47">
        <f>-3434.16%</f>
        <v>-34.3416</v>
      </c>
      <c r="K149" s="47">
        <f>-3765%</f>
        <v>-37.65</v>
      </c>
      <c r="L149" s="47">
        <f>-3215%</f>
        <v>-32.15</v>
      </c>
      <c r="M149" s="47">
        <f>-3434.16%</f>
        <v>-34.3416</v>
      </c>
      <c r="N149" s="48">
        <f>-3956%</f>
        <v>-39.56</v>
      </c>
    </row>
    <row r="150" ht="15.75" customHeight="1">
      <c r="A150" s="12" t="s">
        <v>145</v>
      </c>
      <c r="B150" s="12">
        <f>Historicals!B173</f>
        <v>210</v>
      </c>
      <c r="C150" s="12">
        <f>Historicals!C173</f>
        <v>230</v>
      </c>
      <c r="D150" s="12">
        <f>Historicals!D173</f>
        <v>233</v>
      </c>
      <c r="E150" s="12">
        <f>Historicals!E173</f>
        <v>217</v>
      </c>
      <c r="F150" s="12">
        <f>Historicals!F173</f>
        <v>195</v>
      </c>
      <c r="G150" s="12">
        <f>Historicals!G173</f>
        <v>214</v>
      </c>
      <c r="H150" s="12">
        <f>Historicals!H173</f>
        <v>222</v>
      </c>
      <c r="I150" s="12">
        <f>Historicals!I173</f>
        <v>220</v>
      </c>
      <c r="J150" s="12">
        <f t="shared" ref="J150:N150" si="168">I150*(1+J151)</f>
        <v>224.4</v>
      </c>
      <c r="K150" s="12">
        <f t="shared" si="168"/>
        <v>223.7268</v>
      </c>
      <c r="L150" s="12">
        <f t="shared" si="168"/>
        <v>221.489532</v>
      </c>
      <c r="M150" s="12">
        <f t="shared" si="168"/>
        <v>225.4763436</v>
      </c>
      <c r="N150" s="12">
        <f t="shared" si="168"/>
        <v>232.4661102</v>
      </c>
    </row>
    <row r="151" ht="15.75" customHeight="1">
      <c r="A151" s="41" t="s">
        <v>142</v>
      </c>
      <c r="B151" s="42" t="str">
        <f t="shared" ref="B151:I151" si="169">+IFERROR(B150/A150-1,"nm")</f>
        <v>nm</v>
      </c>
      <c r="C151" s="42">
        <f t="shared" si="169"/>
        <v>0.09523809524</v>
      </c>
      <c r="D151" s="42">
        <f t="shared" si="169"/>
        <v>0.01304347826</v>
      </c>
      <c r="E151" s="42">
        <f t="shared" si="169"/>
        <v>-0.0686695279</v>
      </c>
      <c r="F151" s="42">
        <f t="shared" si="169"/>
        <v>-0.1013824885</v>
      </c>
      <c r="G151" s="42">
        <f t="shared" si="169"/>
        <v>0.09743589744</v>
      </c>
      <c r="H151" s="42">
        <f t="shared" si="169"/>
        <v>0.03738317757</v>
      </c>
      <c r="I151" s="42">
        <f t="shared" si="169"/>
        <v>-0.009009009009</v>
      </c>
      <c r="J151" s="42">
        <f>0.02</f>
        <v>0.02</v>
      </c>
      <c r="K151" s="42">
        <v>-0.003</v>
      </c>
      <c r="L151" s="42">
        <v>-0.01</v>
      </c>
      <c r="M151" s="42">
        <v>0.018</v>
      </c>
      <c r="N151" s="42">
        <v>0.031</v>
      </c>
    </row>
    <row r="152" ht="15.75" customHeight="1">
      <c r="A152" s="41" t="s">
        <v>146</v>
      </c>
      <c r="B152" s="42">
        <f t="shared" ref="B152:N152" si="170">+IFERROR(B150/B$145,"nm")</f>
        <v>1.826086957</v>
      </c>
      <c r="C152" s="42">
        <f t="shared" si="170"/>
        <v>3.150684932</v>
      </c>
      <c r="D152" s="42">
        <f t="shared" si="170"/>
        <v>3.191780822</v>
      </c>
      <c r="E152" s="42">
        <f t="shared" si="170"/>
        <v>2.465909091</v>
      </c>
      <c r="F152" s="42">
        <f t="shared" si="170"/>
        <v>4.642857143</v>
      </c>
      <c r="G152" s="42">
        <f t="shared" si="170"/>
        <v>7.133333333</v>
      </c>
      <c r="H152" s="42">
        <f t="shared" si="170"/>
        <v>8.88</v>
      </c>
      <c r="I152" s="42">
        <f t="shared" si="170"/>
        <v>2.156862745</v>
      </c>
      <c r="J152" s="42">
        <f t="shared" si="170"/>
        <v>1.76</v>
      </c>
      <c r="K152" s="42">
        <f t="shared" si="170"/>
        <v>1.679157895</v>
      </c>
      <c r="L152" s="42">
        <f t="shared" si="170"/>
        <v>1.534964281</v>
      </c>
      <c r="M152" s="42">
        <f t="shared" si="170"/>
        <v>1.45222457</v>
      </c>
      <c r="N152" s="42">
        <f t="shared" si="170"/>
        <v>1.415164019</v>
      </c>
    </row>
    <row r="153" ht="15.75" customHeight="1">
      <c r="A153" s="41" t="s">
        <v>159</v>
      </c>
      <c r="B153" s="42">
        <f t="shared" ref="B153:J153" si="171">+IFERROR(B150/B160,"nm")</f>
        <v>0.4338842975</v>
      </c>
      <c r="C153" s="42">
        <f t="shared" si="171"/>
        <v>0.4500978474</v>
      </c>
      <c r="D153" s="42">
        <f t="shared" si="171"/>
        <v>0.4371482176</v>
      </c>
      <c r="E153" s="42">
        <f t="shared" si="171"/>
        <v>0.3634840871</v>
      </c>
      <c r="F153" s="42">
        <f t="shared" si="171"/>
        <v>0.2932330827</v>
      </c>
      <c r="G153" s="42">
        <f t="shared" si="171"/>
        <v>0.2578313253</v>
      </c>
      <c r="H153" s="42">
        <f t="shared" si="171"/>
        <v>0.2846153846</v>
      </c>
      <c r="I153" s="42">
        <f t="shared" si="171"/>
        <v>0.278833967</v>
      </c>
      <c r="J153" s="42">
        <f t="shared" si="171"/>
        <v>0.2708672823</v>
      </c>
      <c r="K153" s="45">
        <f t="shared" ref="K153:N153" si="172">+J153</f>
        <v>0.2708672823</v>
      </c>
      <c r="L153" s="45">
        <f t="shared" si="172"/>
        <v>0.2708672823</v>
      </c>
      <c r="M153" s="45">
        <f t="shared" si="172"/>
        <v>0.2708672823</v>
      </c>
      <c r="N153" s="45">
        <f t="shared" si="172"/>
        <v>0.2708672823</v>
      </c>
    </row>
    <row r="154" ht="15.75" customHeight="1">
      <c r="A154" s="12" t="s">
        <v>147</v>
      </c>
      <c r="B154" s="12">
        <f>Historicals!B140</f>
        <v>-2263</v>
      </c>
      <c r="C154" s="12">
        <f>Historicals!C140</f>
        <v>-2596</v>
      </c>
      <c r="D154" s="12">
        <f>Historicals!D140</f>
        <v>-2677</v>
      </c>
      <c r="E154" s="12">
        <f>Historicals!E140</f>
        <v>-2658</v>
      </c>
      <c r="F154" s="12">
        <f>Historicals!F140</f>
        <v>-3262</v>
      </c>
      <c r="G154" s="12">
        <f>Historicals!G140</f>
        <v>-3468</v>
      </c>
      <c r="H154" s="12">
        <f>Historicals!H140</f>
        <v>-3656</v>
      </c>
      <c r="I154" s="12">
        <f>Historicals!I140</f>
        <v>-4262</v>
      </c>
      <c r="J154" s="12">
        <f t="shared" ref="J154:N154" si="173">I154*(1+J155)</f>
        <v>-4602.96</v>
      </c>
      <c r="K154" s="12">
        <f t="shared" si="173"/>
        <v>-5132.3004</v>
      </c>
      <c r="L154" s="12">
        <f t="shared" si="173"/>
        <v>-5583.942835</v>
      </c>
      <c r="M154" s="12">
        <f t="shared" si="173"/>
        <v>-6092.081633</v>
      </c>
      <c r="N154" s="12">
        <f t="shared" si="173"/>
        <v>-6841.407674</v>
      </c>
    </row>
    <row r="155" ht="15.75" customHeight="1">
      <c r="A155" s="41" t="s">
        <v>142</v>
      </c>
      <c r="B155" s="42" t="str">
        <f t="shared" ref="B155:I155" si="174">+IFERROR(B154/A154-1,"nm")</f>
        <v>nm</v>
      </c>
      <c r="C155" s="42">
        <f t="shared" si="174"/>
        <v>0.1471498011</v>
      </c>
      <c r="D155" s="42">
        <f t="shared" si="174"/>
        <v>0.031201849</v>
      </c>
      <c r="E155" s="42">
        <f t="shared" si="174"/>
        <v>-0.007097497198</v>
      </c>
      <c r="F155" s="42">
        <f t="shared" si="174"/>
        <v>0.2272385252</v>
      </c>
      <c r="G155" s="42">
        <f t="shared" si="174"/>
        <v>0.06315144083</v>
      </c>
      <c r="H155" s="42">
        <f t="shared" si="174"/>
        <v>0.05420991926</v>
      </c>
      <c r="I155" s="42">
        <f t="shared" si="174"/>
        <v>0.1657549234</v>
      </c>
      <c r="J155" s="42">
        <f>0.08</f>
        <v>0.08</v>
      </c>
      <c r="K155" s="42">
        <v>0.115</v>
      </c>
      <c r="L155" s="42">
        <v>0.088</v>
      </c>
      <c r="M155" s="42">
        <v>0.091</v>
      </c>
      <c r="N155" s="42">
        <v>0.123</v>
      </c>
    </row>
    <row r="156" ht="15.75" customHeight="1">
      <c r="A156" s="41" t="s">
        <v>144</v>
      </c>
      <c r="B156" s="42">
        <f t="shared" ref="B156:N156" si="175">+IFERROR(B154/B$145,"nm")</f>
        <v>-19.67826087</v>
      </c>
      <c r="C156" s="42">
        <f t="shared" si="175"/>
        <v>-35.56164384</v>
      </c>
      <c r="D156" s="42">
        <f t="shared" si="175"/>
        <v>-36.67123288</v>
      </c>
      <c r="E156" s="42">
        <f t="shared" si="175"/>
        <v>-30.20454545</v>
      </c>
      <c r="F156" s="42">
        <f t="shared" si="175"/>
        <v>-77.66666667</v>
      </c>
      <c r="G156" s="42">
        <f t="shared" si="175"/>
        <v>-115.6</v>
      </c>
      <c r="H156" s="42">
        <f t="shared" si="175"/>
        <v>-146.24</v>
      </c>
      <c r="I156" s="42">
        <f t="shared" si="175"/>
        <v>-41.78431373</v>
      </c>
      <c r="J156" s="42">
        <f t="shared" si="175"/>
        <v>-36.10164706</v>
      </c>
      <c r="K156" s="42">
        <f t="shared" si="175"/>
        <v>-38.51993921</v>
      </c>
      <c r="L156" s="42">
        <f t="shared" si="175"/>
        <v>-38.69777826</v>
      </c>
      <c r="M156" s="42">
        <f t="shared" si="175"/>
        <v>-39.23724543</v>
      </c>
      <c r="N156" s="42">
        <f t="shared" si="175"/>
        <v>-41.64785125</v>
      </c>
    </row>
    <row r="157" ht="15.75" customHeight="1">
      <c r="A157" s="12" t="s">
        <v>148</v>
      </c>
      <c r="B157" s="12">
        <f>Historicals!B162</f>
        <v>225</v>
      </c>
      <c r="C157" s="12">
        <f>Historicals!C162</f>
        <v>258</v>
      </c>
      <c r="D157" s="12">
        <f>Historicals!D162</f>
        <v>278</v>
      </c>
      <c r="E157" s="12">
        <f>Historicals!E162</f>
        <v>286</v>
      </c>
      <c r="F157" s="12">
        <f>Historicals!F162</f>
        <v>278</v>
      </c>
      <c r="G157" s="12">
        <f>Historicals!G162</f>
        <v>438</v>
      </c>
      <c r="H157" s="12">
        <f>Historicals!H162</f>
        <v>278</v>
      </c>
      <c r="I157" s="12">
        <f>Historicals!I162</f>
        <v>222</v>
      </c>
      <c r="J157" s="12">
        <f t="shared" ref="J157:N157" si="176">I157*(1+J158)</f>
        <v>210.9</v>
      </c>
      <c r="K157" s="12">
        <f t="shared" si="176"/>
        <v>197.4024</v>
      </c>
      <c r="L157" s="12">
        <f t="shared" si="176"/>
        <v>182.0050128</v>
      </c>
      <c r="M157" s="12">
        <f t="shared" si="176"/>
        <v>173.0867672</v>
      </c>
      <c r="N157" s="12">
        <f t="shared" si="176"/>
        <v>163.9131685</v>
      </c>
      <c r="P157" s="2" t="s">
        <v>179</v>
      </c>
    </row>
    <row r="158" ht="15.75" customHeight="1">
      <c r="A158" s="41" t="s">
        <v>142</v>
      </c>
      <c r="B158" s="42" t="str">
        <f t="shared" ref="B158:I158" si="177">+IFERROR(B157/A157-1,"nm")</f>
        <v>nm</v>
      </c>
      <c r="C158" s="42">
        <f t="shared" si="177"/>
        <v>0.1466666667</v>
      </c>
      <c r="D158" s="42">
        <f t="shared" si="177"/>
        <v>0.07751937984</v>
      </c>
      <c r="E158" s="42">
        <f t="shared" si="177"/>
        <v>0.02877697842</v>
      </c>
      <c r="F158" s="42">
        <f t="shared" si="177"/>
        <v>-0.02797202797</v>
      </c>
      <c r="G158" s="42">
        <f t="shared" si="177"/>
        <v>0.5755395683</v>
      </c>
      <c r="H158" s="42">
        <f t="shared" si="177"/>
        <v>-0.3652968037</v>
      </c>
      <c r="I158" s="42">
        <f t="shared" si="177"/>
        <v>-0.2014388489</v>
      </c>
      <c r="J158" s="42">
        <f>-0.05</f>
        <v>-0.05</v>
      </c>
      <c r="K158" s="42">
        <v>-0.064</v>
      </c>
      <c r="L158" s="42">
        <v>-0.078</v>
      </c>
      <c r="M158" s="42">
        <v>-0.049</v>
      </c>
      <c r="N158" s="42">
        <v>-0.053</v>
      </c>
    </row>
    <row r="159" ht="15.75" customHeight="1">
      <c r="A159" s="41" t="s">
        <v>146</v>
      </c>
      <c r="B159" s="42">
        <f t="shared" ref="B159:N159" si="178">+IFERROR(B157/B$145,"nm")</f>
        <v>1.956521739</v>
      </c>
      <c r="C159" s="42">
        <f t="shared" si="178"/>
        <v>3.534246575</v>
      </c>
      <c r="D159" s="42">
        <f t="shared" si="178"/>
        <v>3.808219178</v>
      </c>
      <c r="E159" s="42">
        <f t="shared" si="178"/>
        <v>3.25</v>
      </c>
      <c r="F159" s="42">
        <f t="shared" si="178"/>
        <v>6.619047619</v>
      </c>
      <c r="G159" s="42">
        <f t="shared" si="178"/>
        <v>14.6</v>
      </c>
      <c r="H159" s="42">
        <f t="shared" si="178"/>
        <v>11.12</v>
      </c>
      <c r="I159" s="42">
        <f t="shared" si="178"/>
        <v>2.176470588</v>
      </c>
      <c r="J159" s="42">
        <f t="shared" si="178"/>
        <v>1.654117647</v>
      </c>
      <c r="K159" s="42">
        <f t="shared" si="178"/>
        <v>1.481582888</v>
      </c>
      <c r="L159" s="42">
        <f t="shared" si="178"/>
        <v>1.261329107</v>
      </c>
      <c r="M159" s="42">
        <f t="shared" si="178"/>
        <v>1.114799238</v>
      </c>
      <c r="N159" s="42">
        <f t="shared" si="178"/>
        <v>0.99784015</v>
      </c>
    </row>
    <row r="160" ht="15.75" customHeight="1">
      <c r="A160" s="12" t="s">
        <v>149</v>
      </c>
      <c r="B160" s="12">
        <f>Historicals!B151</f>
        <v>484</v>
      </c>
      <c r="C160" s="12">
        <f>Historicals!C151</f>
        <v>511</v>
      </c>
      <c r="D160" s="12">
        <f>Historicals!D151</f>
        <v>533</v>
      </c>
      <c r="E160" s="12">
        <f>Historicals!E151</f>
        <v>597</v>
      </c>
      <c r="F160" s="12">
        <f>Historicals!F151</f>
        <v>665</v>
      </c>
      <c r="G160" s="12">
        <f>Historicals!G151</f>
        <v>830</v>
      </c>
      <c r="H160" s="12">
        <f>Historicals!H151</f>
        <v>780</v>
      </c>
      <c r="I160" s="12">
        <f>Historicals!I151</f>
        <v>789</v>
      </c>
      <c r="J160" s="12">
        <f t="shared" ref="J160:N160" si="179">I160*(1+J161)</f>
        <v>828.45</v>
      </c>
      <c r="K160" s="12">
        <f t="shared" si="179"/>
        <v>850.81815</v>
      </c>
      <c r="L160" s="12">
        <f t="shared" si="179"/>
        <v>889.1049668</v>
      </c>
      <c r="M160" s="12">
        <f t="shared" si="179"/>
        <v>926.4473754</v>
      </c>
      <c r="N160" s="12">
        <f t="shared" si="179"/>
        <v>956.0936914</v>
      </c>
    </row>
    <row r="161" ht="15.75" customHeight="1">
      <c r="A161" s="41" t="s">
        <v>142</v>
      </c>
      <c r="B161" s="42" t="str">
        <f t="shared" ref="B161:I161" si="180">+IFERROR(B160/A160-1,"nm")</f>
        <v>nm</v>
      </c>
      <c r="C161" s="42">
        <f t="shared" si="180"/>
        <v>0.05578512397</v>
      </c>
      <c r="D161" s="42">
        <f t="shared" si="180"/>
        <v>0.04305283757</v>
      </c>
      <c r="E161" s="42">
        <f t="shared" si="180"/>
        <v>0.1200750469</v>
      </c>
      <c r="F161" s="42">
        <f t="shared" si="180"/>
        <v>0.1139028476</v>
      </c>
      <c r="G161" s="42">
        <f t="shared" si="180"/>
        <v>0.2481203008</v>
      </c>
      <c r="H161" s="42">
        <f t="shared" si="180"/>
        <v>-0.06024096386</v>
      </c>
      <c r="I161" s="42">
        <f t="shared" si="180"/>
        <v>0.01153846154</v>
      </c>
      <c r="J161" s="42">
        <f>0.05</f>
        <v>0.05</v>
      </c>
      <c r="K161" s="42">
        <v>0.027</v>
      </c>
      <c r="L161" s="42">
        <v>0.045</v>
      </c>
      <c r="M161" s="42">
        <v>0.042</v>
      </c>
      <c r="N161" s="42">
        <v>0.032</v>
      </c>
      <c r="P161" s="2" t="s">
        <v>180</v>
      </c>
    </row>
    <row r="162" ht="15.75" customHeight="1">
      <c r="A162" s="41" t="s">
        <v>146</v>
      </c>
      <c r="B162" s="42">
        <f t="shared" ref="B162:N162" si="181">+IFERROR(B160/B$145,"nm")</f>
        <v>4.208695652</v>
      </c>
      <c r="C162" s="42">
        <f t="shared" si="181"/>
        <v>7</v>
      </c>
      <c r="D162" s="42">
        <f t="shared" si="181"/>
        <v>7.301369863</v>
      </c>
      <c r="E162" s="42">
        <f t="shared" si="181"/>
        <v>6.784090909</v>
      </c>
      <c r="F162" s="42">
        <f t="shared" si="181"/>
        <v>15.83333333</v>
      </c>
      <c r="G162" s="42">
        <f t="shared" si="181"/>
        <v>27.66666667</v>
      </c>
      <c r="H162" s="42">
        <f t="shared" si="181"/>
        <v>31.2</v>
      </c>
      <c r="I162" s="42">
        <f t="shared" si="181"/>
        <v>7.735294118</v>
      </c>
      <c r="J162" s="42">
        <f t="shared" si="181"/>
        <v>6.497647059</v>
      </c>
      <c r="K162" s="42">
        <f t="shared" si="181"/>
        <v>6.385725865</v>
      </c>
      <c r="L162" s="42">
        <f t="shared" si="181"/>
        <v>6.161665309</v>
      </c>
      <c r="M162" s="42">
        <f t="shared" si="181"/>
        <v>5.966965847</v>
      </c>
      <c r="N162" s="42">
        <f t="shared" si="181"/>
        <v>5.820329636</v>
      </c>
    </row>
    <row r="163" ht="15.75" customHeight="1">
      <c r="A163" s="43" t="s">
        <v>122</v>
      </c>
      <c r="B163" s="43"/>
      <c r="C163" s="43"/>
      <c r="D163" s="43"/>
      <c r="E163" s="43"/>
      <c r="F163" s="43"/>
      <c r="G163" s="43"/>
      <c r="H163" s="43"/>
      <c r="I163" s="43"/>
      <c r="J163" s="39"/>
      <c r="K163" s="39"/>
      <c r="L163" s="39"/>
      <c r="M163" s="39"/>
      <c r="N163" s="39"/>
    </row>
    <row r="164" ht="15.75" customHeight="1">
      <c r="A164" s="12" t="s">
        <v>150</v>
      </c>
      <c r="B164" s="12">
        <f>Historicals!B127</f>
        <v>1982</v>
      </c>
      <c r="C164" s="12">
        <f>Historicals!C127</f>
        <v>1955</v>
      </c>
      <c r="D164" s="12">
        <f>Historicals!D127</f>
        <v>2042</v>
      </c>
      <c r="E164" s="12">
        <f>Historicals!E127</f>
        <v>1886</v>
      </c>
      <c r="F164" s="12">
        <f>Historicals!F127</f>
        <v>1906</v>
      </c>
      <c r="G164" s="12">
        <f>Historicals!G127</f>
        <v>1846</v>
      </c>
      <c r="H164" s="12">
        <f>Historicals!H127</f>
        <v>2205</v>
      </c>
      <c r="I164" s="12">
        <f>Historicals!I127</f>
        <v>2346</v>
      </c>
      <c r="J164" s="12">
        <f t="shared" ref="J164:N164" si="182">+SUM(J166+J170+J174+J178)</f>
        <v>2452.225</v>
      </c>
      <c r="K164" s="12">
        <f t="shared" si="182"/>
        <v>2578.210235</v>
      </c>
      <c r="L164" s="12">
        <f t="shared" si="182"/>
        <v>2722.423659</v>
      </c>
      <c r="M164" s="12">
        <f t="shared" si="182"/>
        <v>2857.842482</v>
      </c>
      <c r="N164" s="12">
        <f t="shared" si="182"/>
        <v>3013.807337</v>
      </c>
    </row>
    <row r="165" ht="15.75" customHeight="1">
      <c r="A165" s="41" t="s">
        <v>142</v>
      </c>
      <c r="B165" s="42" t="str">
        <f t="shared" ref="B165:N165" si="183">+IFERROR(B164/A164-1,"nm")</f>
        <v>nm</v>
      </c>
      <c r="C165" s="42">
        <f t="shared" si="183"/>
        <v>-0.01362260343</v>
      </c>
      <c r="D165" s="42">
        <f t="shared" si="183"/>
        <v>0.04450127877</v>
      </c>
      <c r="E165" s="42">
        <f t="shared" si="183"/>
        <v>-0.0763956905</v>
      </c>
      <c r="F165" s="42">
        <f t="shared" si="183"/>
        <v>0.01060445387</v>
      </c>
      <c r="G165" s="42">
        <f t="shared" si="183"/>
        <v>-0.0314795383</v>
      </c>
      <c r="H165" s="42">
        <f t="shared" si="183"/>
        <v>0.1944745395</v>
      </c>
      <c r="I165" s="42">
        <f t="shared" si="183"/>
        <v>0.06394557823</v>
      </c>
      <c r="J165" s="42">
        <f t="shared" si="183"/>
        <v>0.04527919864</v>
      </c>
      <c r="K165" s="42">
        <f t="shared" si="183"/>
        <v>0.0513758872</v>
      </c>
      <c r="L165" s="42">
        <f t="shared" si="183"/>
        <v>0.0559354788</v>
      </c>
      <c r="M165" s="42">
        <f t="shared" si="183"/>
        <v>0.04974200919</v>
      </c>
      <c r="N165" s="42">
        <f t="shared" si="183"/>
        <v>0.054574336</v>
      </c>
      <c r="P165" s="2" t="s">
        <v>181</v>
      </c>
    </row>
    <row r="166" ht="15.75" customHeight="1">
      <c r="A166" s="44" t="s">
        <v>114</v>
      </c>
      <c r="B166" s="9">
        <f>Historicals!B128</f>
        <v>18318</v>
      </c>
      <c r="C166" s="9">
        <f>Historicals!C128</f>
        <v>19871</v>
      </c>
      <c r="D166" s="9">
        <f>Historicals!D128</f>
        <v>21081</v>
      </c>
      <c r="E166" s="9">
        <f>Historicals!E128</f>
        <v>22268</v>
      </c>
      <c r="F166" s="9">
        <f>Historicals!F128</f>
        <v>1658</v>
      </c>
      <c r="G166" s="9">
        <f>Historicals!G128</f>
        <v>1642</v>
      </c>
      <c r="H166" s="9">
        <f>Historicals!H128</f>
        <v>1986</v>
      </c>
      <c r="I166" s="9">
        <f>Historicals!I128</f>
        <v>2094</v>
      </c>
      <c r="J166" s="9">
        <f t="shared" ref="J166:N166" si="184">+I166*(1+J167)</f>
        <v>2198.7</v>
      </c>
      <c r="K166" s="9">
        <f t="shared" si="184"/>
        <v>2324.0259</v>
      </c>
      <c r="L166" s="9">
        <f t="shared" si="184"/>
        <v>2468.115506</v>
      </c>
      <c r="M166" s="9">
        <f t="shared" si="184"/>
        <v>2598.925628</v>
      </c>
      <c r="N166" s="9">
        <f t="shared" si="184"/>
        <v>2749.663314</v>
      </c>
    </row>
    <row r="167" ht="15.75" customHeight="1">
      <c r="A167" s="41" t="s">
        <v>142</v>
      </c>
      <c r="B167" s="42" t="str">
        <f t="shared" ref="B167:I167" si="185">+IFERROR(B166/A166-1,"nm")</f>
        <v>nm</v>
      </c>
      <c r="C167" s="42">
        <f t="shared" si="185"/>
        <v>0.08477999782</v>
      </c>
      <c r="D167" s="42">
        <f t="shared" si="185"/>
        <v>0.06089275829</v>
      </c>
      <c r="E167" s="42">
        <f t="shared" si="185"/>
        <v>0.05630662682</v>
      </c>
      <c r="F167" s="42">
        <f t="shared" si="185"/>
        <v>-0.9255433806</v>
      </c>
      <c r="G167" s="42">
        <f t="shared" si="185"/>
        <v>-0.009650180941</v>
      </c>
      <c r="H167" s="42">
        <f t="shared" si="185"/>
        <v>0.209500609</v>
      </c>
      <c r="I167" s="42">
        <f t="shared" si="185"/>
        <v>0.05438066465</v>
      </c>
      <c r="J167" s="42">
        <f t="shared" ref="J167:N167" si="186">+J168+J169</f>
        <v>0.05</v>
      </c>
      <c r="K167" s="42">
        <f t="shared" si="186"/>
        <v>0.057</v>
      </c>
      <c r="L167" s="42">
        <f t="shared" si="186"/>
        <v>0.062</v>
      </c>
      <c r="M167" s="42">
        <f t="shared" si="186"/>
        <v>0.053</v>
      </c>
      <c r="N167" s="42">
        <f t="shared" si="186"/>
        <v>0.058</v>
      </c>
      <c r="P167" s="2" t="s">
        <v>182</v>
      </c>
    </row>
    <row r="168" ht="15.75" customHeight="1">
      <c r="A168" s="41" t="s">
        <v>153</v>
      </c>
      <c r="B168" s="42" t="str">
        <f>Historicals!B200</f>
        <v/>
      </c>
      <c r="C168" s="42" t="str">
        <f>Historicals!C200</f>
        <v/>
      </c>
      <c r="D168" s="42" t="str">
        <f>Historicals!D200</f>
        <v/>
      </c>
      <c r="E168" s="42" t="str">
        <f>Historicals!E200</f>
        <v/>
      </c>
      <c r="F168" s="42">
        <f>Historicals!F200</f>
        <v>0.06</v>
      </c>
      <c r="G168" s="42">
        <f>Historicals!G200</f>
        <v>0.01</v>
      </c>
      <c r="H168" s="42">
        <f>Historicals!H200</f>
        <v>0.17</v>
      </c>
      <c r="I168" s="42">
        <f>Historicals!I200</f>
        <v>0.06</v>
      </c>
      <c r="J168" s="45">
        <v>0.05</v>
      </c>
      <c r="K168" s="45">
        <v>0.057</v>
      </c>
      <c r="L168" s="45">
        <v>0.062</v>
      </c>
      <c r="M168" s="45">
        <v>0.053</v>
      </c>
      <c r="N168" s="45">
        <v>0.058</v>
      </c>
    </row>
    <row r="169" ht="15.75" customHeight="1">
      <c r="A169" s="41" t="s">
        <v>154</v>
      </c>
      <c r="B169" s="42" t="str">
        <f t="shared" ref="B169:I169" si="187">+IFERROR(B167-B168,"nm")</f>
        <v>nm</v>
      </c>
      <c r="C169" s="42">
        <f t="shared" si="187"/>
        <v>0.08477999782</v>
      </c>
      <c r="D169" s="42">
        <f t="shared" si="187"/>
        <v>0.06089275829</v>
      </c>
      <c r="E169" s="42">
        <f t="shared" si="187"/>
        <v>0.05630662682</v>
      </c>
      <c r="F169" s="42">
        <f t="shared" si="187"/>
        <v>-0.9855433806</v>
      </c>
      <c r="G169" s="42">
        <f t="shared" si="187"/>
        <v>-0.01965018094</v>
      </c>
      <c r="H169" s="42">
        <f t="shared" si="187"/>
        <v>0.03950060901</v>
      </c>
      <c r="I169" s="42">
        <f t="shared" si="187"/>
        <v>-0.005619335347</v>
      </c>
      <c r="J169" s="45">
        <v>0.0</v>
      </c>
      <c r="K169" s="45">
        <v>0.0</v>
      </c>
      <c r="L169" s="45">
        <v>0.0</v>
      </c>
      <c r="M169" s="45">
        <v>0.0</v>
      </c>
      <c r="N169" s="45">
        <v>0.0</v>
      </c>
    </row>
    <row r="170" ht="15.75" customHeight="1">
      <c r="A170" s="44" t="s">
        <v>115</v>
      </c>
      <c r="B170" s="9">
        <f>Historicals!B129</f>
        <v>8637</v>
      </c>
      <c r="C170" s="9">
        <f>Historicals!C129</f>
        <v>9067</v>
      </c>
      <c r="D170" s="9">
        <f>Historicals!D129</f>
        <v>9654</v>
      </c>
      <c r="E170" s="9">
        <f>Historicals!E129</f>
        <v>10733</v>
      </c>
      <c r="F170" s="9">
        <f>Historicals!F129</f>
        <v>118</v>
      </c>
      <c r="G170" s="9">
        <f>Historicals!G129</f>
        <v>89</v>
      </c>
      <c r="H170" s="9">
        <f>Historicals!H129</f>
        <v>104</v>
      </c>
      <c r="I170" s="9">
        <f>Historicals!I129</f>
        <v>103</v>
      </c>
      <c r="J170" s="9">
        <f t="shared" ref="J170:N170" si="188">+I170*(1+J171)</f>
        <v>101.97</v>
      </c>
      <c r="K170" s="9">
        <f t="shared" si="188"/>
        <v>100.33848</v>
      </c>
      <c r="L170" s="9">
        <f t="shared" si="188"/>
        <v>99.13441824</v>
      </c>
      <c r="M170" s="9">
        <f t="shared" si="188"/>
        <v>100.8197034</v>
      </c>
      <c r="N170" s="9">
        <f t="shared" si="188"/>
        <v>102.2311792</v>
      </c>
    </row>
    <row r="171" ht="15.75" customHeight="1">
      <c r="A171" s="41" t="s">
        <v>142</v>
      </c>
      <c r="B171" s="42" t="str">
        <f t="shared" ref="B171:I171" si="189">+IFERROR(B170/A170-1,"nm")</f>
        <v>nm</v>
      </c>
      <c r="C171" s="42">
        <f t="shared" si="189"/>
        <v>0.04978580526</v>
      </c>
      <c r="D171" s="42">
        <f t="shared" si="189"/>
        <v>0.0647402669</v>
      </c>
      <c r="E171" s="42">
        <f t="shared" si="189"/>
        <v>0.1117671432</v>
      </c>
      <c r="F171" s="42">
        <f t="shared" si="189"/>
        <v>-0.9890058697</v>
      </c>
      <c r="G171" s="42">
        <f t="shared" si="189"/>
        <v>-0.2457627119</v>
      </c>
      <c r="H171" s="42">
        <f t="shared" si="189"/>
        <v>0.1685393258</v>
      </c>
      <c r="I171" s="42">
        <f t="shared" si="189"/>
        <v>-0.009615384615</v>
      </c>
      <c r="J171" s="42">
        <f t="shared" ref="J171:N171" si="190">+J172+J173</f>
        <v>-0.01</v>
      </c>
      <c r="K171" s="42">
        <f t="shared" si="190"/>
        <v>-0.016</v>
      </c>
      <c r="L171" s="42">
        <f t="shared" si="190"/>
        <v>-0.012</v>
      </c>
      <c r="M171" s="42">
        <f t="shared" si="190"/>
        <v>0.017</v>
      </c>
      <c r="N171" s="42">
        <f t="shared" si="190"/>
        <v>0.014</v>
      </c>
    </row>
    <row r="172" ht="15.75" customHeight="1">
      <c r="A172" s="41" t="s">
        <v>153</v>
      </c>
      <c r="B172" s="42" t="str">
        <f>Historicals!B201</f>
        <v/>
      </c>
      <c r="C172" s="42" t="str">
        <f>Historicals!C201</f>
        <v/>
      </c>
      <c r="D172" s="42" t="str">
        <f>Historicals!D201</f>
        <v/>
      </c>
      <c r="E172" s="42" t="str">
        <f>Historicals!E201</f>
        <v/>
      </c>
      <c r="F172" s="42">
        <f>Historicals!F201</f>
        <v>-0.03</v>
      </c>
      <c r="G172" s="42">
        <f>Historicals!G201</f>
        <v>-0.22</v>
      </c>
      <c r="H172" s="42">
        <f>Historicals!H201</f>
        <v>0.13</v>
      </c>
      <c r="I172" s="42">
        <f>Historicals!I201</f>
        <v>-0.03</v>
      </c>
      <c r="J172" s="45">
        <v>-0.01</v>
      </c>
      <c r="K172" s="45">
        <v>-0.016</v>
      </c>
      <c r="L172" s="45">
        <v>-0.012</v>
      </c>
      <c r="M172" s="45">
        <v>0.017</v>
      </c>
      <c r="N172" s="45">
        <v>0.014</v>
      </c>
      <c r="P172" s="2" t="s">
        <v>183</v>
      </c>
    </row>
    <row r="173" ht="15.75" customHeight="1">
      <c r="A173" s="41" t="s">
        <v>154</v>
      </c>
      <c r="B173" s="42" t="str">
        <f t="shared" ref="B173:I173" si="191">+IFERROR(B171-B172,"nm")</f>
        <v>nm</v>
      </c>
      <c r="C173" s="42">
        <f t="shared" si="191"/>
        <v>0.04978580526</v>
      </c>
      <c r="D173" s="42">
        <f t="shared" si="191"/>
        <v>0.0647402669</v>
      </c>
      <c r="E173" s="42">
        <f t="shared" si="191"/>
        <v>0.1117671432</v>
      </c>
      <c r="F173" s="42">
        <f t="shared" si="191"/>
        <v>-0.9590058697</v>
      </c>
      <c r="G173" s="42">
        <f t="shared" si="191"/>
        <v>-0.02576271186</v>
      </c>
      <c r="H173" s="42">
        <f t="shared" si="191"/>
        <v>0.03853932584</v>
      </c>
      <c r="I173" s="42">
        <f t="shared" si="191"/>
        <v>0.02038461538</v>
      </c>
      <c r="J173" s="45">
        <v>0.0</v>
      </c>
      <c r="K173" s="45">
        <v>0.0</v>
      </c>
      <c r="L173" s="45">
        <v>0.0</v>
      </c>
      <c r="M173" s="45">
        <v>0.0</v>
      </c>
      <c r="N173" s="45">
        <v>0.0</v>
      </c>
    </row>
    <row r="174" ht="15.75" customHeight="1">
      <c r="A174" s="44" t="s">
        <v>116</v>
      </c>
      <c r="B174" s="9">
        <f>Historicals!B130</f>
        <v>1631</v>
      </c>
      <c r="C174" s="9">
        <f>Historicals!C130</f>
        <v>1496</v>
      </c>
      <c r="D174" s="9">
        <f>Historicals!D130</f>
        <v>1425</v>
      </c>
      <c r="E174" s="9">
        <f>Historicals!E130</f>
        <v>1396</v>
      </c>
      <c r="F174" s="9">
        <f>Historicals!F130</f>
        <v>24</v>
      </c>
      <c r="G174" s="9">
        <f>Historicals!G130</f>
        <v>25</v>
      </c>
      <c r="H174" s="9">
        <f>Historicals!H130</f>
        <v>29</v>
      </c>
      <c r="I174" s="9">
        <f>Historicals!I130</f>
        <v>26</v>
      </c>
      <c r="J174" s="9">
        <f t="shared" ref="J174:N174" si="192">+I174*(1+J175)</f>
        <v>25.48</v>
      </c>
      <c r="K174" s="9">
        <f t="shared" si="192"/>
        <v>25.12328</v>
      </c>
      <c r="L174" s="9">
        <f t="shared" si="192"/>
        <v>24.52032128</v>
      </c>
      <c r="M174" s="9">
        <f t="shared" si="192"/>
        <v>24.56936192</v>
      </c>
      <c r="N174" s="9">
        <f t="shared" si="192"/>
        <v>24.91333299</v>
      </c>
    </row>
    <row r="175" ht="15.75" customHeight="1">
      <c r="A175" s="41" t="s">
        <v>142</v>
      </c>
      <c r="B175" s="42" t="str">
        <f t="shared" ref="B175:I175" si="193">+IFERROR(B174/A174-1,"nm")</f>
        <v>nm</v>
      </c>
      <c r="C175" s="42">
        <f t="shared" si="193"/>
        <v>-0.08277130595</v>
      </c>
      <c r="D175" s="42">
        <f t="shared" si="193"/>
        <v>-0.04745989305</v>
      </c>
      <c r="E175" s="42">
        <f t="shared" si="193"/>
        <v>-0.02035087719</v>
      </c>
      <c r="F175" s="42">
        <f t="shared" si="193"/>
        <v>-0.9828080229</v>
      </c>
      <c r="G175" s="42">
        <f t="shared" si="193"/>
        <v>0.04166666667</v>
      </c>
      <c r="H175" s="42">
        <f t="shared" si="193"/>
        <v>0.16</v>
      </c>
      <c r="I175" s="42">
        <f t="shared" si="193"/>
        <v>-0.1034482759</v>
      </c>
      <c r="J175" s="42">
        <f t="shared" ref="J175:N175" si="194">+J176+J177</f>
        <v>-0.02</v>
      </c>
      <c r="K175" s="42">
        <f t="shared" si="194"/>
        <v>-0.014</v>
      </c>
      <c r="L175" s="42">
        <f t="shared" si="194"/>
        <v>-0.024</v>
      </c>
      <c r="M175" s="42">
        <f t="shared" si="194"/>
        <v>0.002</v>
      </c>
      <c r="N175" s="42">
        <f t="shared" si="194"/>
        <v>0.014</v>
      </c>
    </row>
    <row r="176" ht="15.75" customHeight="1">
      <c r="A176" s="41" t="s">
        <v>153</v>
      </c>
      <c r="B176" s="42" t="str">
        <f>Historicals!B202</f>
        <v/>
      </c>
      <c r="C176" s="42" t="str">
        <f>Historicals!C202</f>
        <v/>
      </c>
      <c r="D176" s="42" t="str">
        <f>Historicals!D202</f>
        <v/>
      </c>
      <c r="E176" s="42" t="str">
        <f>Historicals!E202</f>
        <v/>
      </c>
      <c r="F176" s="42">
        <f>Historicals!F202</f>
        <v>-0.16</v>
      </c>
      <c r="G176" s="42">
        <f>Historicals!G202</f>
        <v>0.08</v>
      </c>
      <c r="H176" s="42">
        <f>Historicals!H202</f>
        <v>0.14</v>
      </c>
      <c r="I176" s="42">
        <f>Historicals!I202</f>
        <v>-0.16</v>
      </c>
      <c r="J176" s="45">
        <v>-0.02</v>
      </c>
      <c r="K176" s="45">
        <v>-0.014</v>
      </c>
      <c r="L176" s="45">
        <v>-0.024</v>
      </c>
      <c r="M176" s="45">
        <v>0.002</v>
      </c>
      <c r="N176" s="45">
        <v>0.014</v>
      </c>
    </row>
    <row r="177" ht="15.75" customHeight="1">
      <c r="A177" s="41" t="s">
        <v>154</v>
      </c>
      <c r="B177" s="42" t="str">
        <f t="shared" ref="B177:I177" si="195">+IFERROR(B175-B176,"nm")</f>
        <v>nm</v>
      </c>
      <c r="C177" s="42">
        <f t="shared" si="195"/>
        <v>-0.08277130595</v>
      </c>
      <c r="D177" s="42">
        <f t="shared" si="195"/>
        <v>-0.04745989305</v>
      </c>
      <c r="E177" s="42">
        <f t="shared" si="195"/>
        <v>-0.02035087719</v>
      </c>
      <c r="F177" s="42">
        <f t="shared" si="195"/>
        <v>-0.8228080229</v>
      </c>
      <c r="G177" s="42">
        <f t="shared" si="195"/>
        <v>-0.03833333333</v>
      </c>
      <c r="H177" s="42">
        <f t="shared" si="195"/>
        <v>0.02</v>
      </c>
      <c r="I177" s="42">
        <f t="shared" si="195"/>
        <v>0.05655172414</v>
      </c>
      <c r="J177" s="45">
        <v>0.0</v>
      </c>
      <c r="K177" s="45">
        <v>0.0</v>
      </c>
      <c r="L177" s="45">
        <v>0.0</v>
      </c>
      <c r="M177" s="45">
        <v>0.0</v>
      </c>
      <c r="N177" s="45">
        <v>0.0</v>
      </c>
    </row>
    <row r="178" ht="15.75" customHeight="1">
      <c r="A178" s="44" t="s">
        <v>123</v>
      </c>
      <c r="B178" s="9">
        <f>Historicals!B131</f>
        <v>115</v>
      </c>
      <c r="C178" s="9">
        <f>Historicals!C131</f>
        <v>73</v>
      </c>
      <c r="D178" s="9">
        <f>Historicals!D131</f>
        <v>73</v>
      </c>
      <c r="E178" s="9">
        <f>Historicals!E131</f>
        <v>88</v>
      </c>
      <c r="F178" s="9">
        <f>Historicals!F131</f>
        <v>106</v>
      </c>
      <c r="G178" s="9">
        <f>Historicals!G131</f>
        <v>90</v>
      </c>
      <c r="H178" s="9">
        <f>Historicals!H131</f>
        <v>86</v>
      </c>
      <c r="I178" s="9">
        <f>Historicals!I131</f>
        <v>123</v>
      </c>
      <c r="J178" s="9">
        <f t="shared" ref="J178:N178" si="196">+I178*(1+J179)</f>
        <v>126.075</v>
      </c>
      <c r="K178" s="9">
        <f t="shared" si="196"/>
        <v>128.722575</v>
      </c>
      <c r="L178" s="9">
        <f t="shared" si="196"/>
        <v>130.6534136</v>
      </c>
      <c r="M178" s="9">
        <f t="shared" si="196"/>
        <v>133.5277887</v>
      </c>
      <c r="N178" s="9">
        <f t="shared" si="196"/>
        <v>136.9995112</v>
      </c>
    </row>
    <row r="179" ht="15.75" customHeight="1">
      <c r="A179" s="41" t="s">
        <v>142</v>
      </c>
      <c r="B179" s="42" t="str">
        <f t="shared" ref="B179:I179" si="197">+IFERROR(B178/A178-1,"nm")</f>
        <v>nm</v>
      </c>
      <c r="C179" s="42">
        <f t="shared" si="197"/>
        <v>-0.3652173913</v>
      </c>
      <c r="D179" s="42">
        <f t="shared" si="197"/>
        <v>0</v>
      </c>
      <c r="E179" s="42">
        <f t="shared" si="197"/>
        <v>0.2054794521</v>
      </c>
      <c r="F179" s="42">
        <f t="shared" si="197"/>
        <v>0.2045454545</v>
      </c>
      <c r="G179" s="42">
        <f t="shared" si="197"/>
        <v>-0.1509433962</v>
      </c>
      <c r="H179" s="42">
        <f t="shared" si="197"/>
        <v>-0.04444444444</v>
      </c>
      <c r="I179" s="42">
        <f t="shared" si="197"/>
        <v>0.4302325581</v>
      </c>
      <c r="J179" s="42">
        <f t="shared" ref="J179:N179" si="198">+J180+J181</f>
        <v>0.025</v>
      </c>
      <c r="K179" s="42">
        <f t="shared" si="198"/>
        <v>0.021</v>
      </c>
      <c r="L179" s="42">
        <f t="shared" si="198"/>
        <v>0.015</v>
      </c>
      <c r="M179" s="42">
        <f t="shared" si="198"/>
        <v>0.022</v>
      </c>
      <c r="N179" s="42">
        <f t="shared" si="198"/>
        <v>0.026</v>
      </c>
    </row>
    <row r="180" ht="15.75" customHeight="1">
      <c r="A180" s="41" t="s">
        <v>153</v>
      </c>
      <c r="B180" s="42" t="str">
        <f>Historicals!B203</f>
        <v/>
      </c>
      <c r="C180" s="42" t="str">
        <f>Historicals!C203</f>
        <v/>
      </c>
      <c r="D180" s="42" t="str">
        <f>Historicals!D203</f>
        <v/>
      </c>
      <c r="E180" s="42" t="str">
        <f>Historicals!E203</f>
        <v/>
      </c>
      <c r="F180" s="42">
        <f>Historicals!F203</f>
        <v>0.42</v>
      </c>
      <c r="G180" s="42">
        <f>Historicals!G203</f>
        <v>-0.14</v>
      </c>
      <c r="H180" s="42">
        <f>Historicals!H203</f>
        <v>-0.01</v>
      </c>
      <c r="I180" s="42">
        <f>Historicals!I203</f>
        <v>0.42</v>
      </c>
      <c r="J180" s="45">
        <v>0.025</v>
      </c>
      <c r="K180" s="45">
        <v>0.021</v>
      </c>
      <c r="L180" s="45">
        <v>0.015</v>
      </c>
      <c r="M180" s="45">
        <v>0.022</v>
      </c>
      <c r="N180" s="45">
        <v>0.026</v>
      </c>
    </row>
    <row r="181" ht="15.75" customHeight="1">
      <c r="A181" s="41" t="s">
        <v>154</v>
      </c>
      <c r="B181" s="42" t="str">
        <f t="shared" ref="B181:I181" si="199">+IFERROR(B179-B180,"nm")</f>
        <v>nm</v>
      </c>
      <c r="C181" s="42">
        <f t="shared" si="199"/>
        <v>-0.3652173913</v>
      </c>
      <c r="D181" s="42">
        <f t="shared" si="199"/>
        <v>0</v>
      </c>
      <c r="E181" s="42">
        <f t="shared" si="199"/>
        <v>0.2054794521</v>
      </c>
      <c r="F181" s="42">
        <f t="shared" si="199"/>
        <v>-0.2154545455</v>
      </c>
      <c r="G181" s="42">
        <f t="shared" si="199"/>
        <v>-0.01094339623</v>
      </c>
      <c r="H181" s="42">
        <f t="shared" si="199"/>
        <v>-0.03444444444</v>
      </c>
      <c r="I181" s="42">
        <f t="shared" si="199"/>
        <v>0.01023255814</v>
      </c>
      <c r="J181" s="45">
        <v>0.0</v>
      </c>
      <c r="K181" s="45">
        <v>0.0</v>
      </c>
      <c r="L181" s="45">
        <v>0.0</v>
      </c>
      <c r="M181" s="45">
        <v>0.0</v>
      </c>
      <c r="N181" s="45">
        <v>0.0</v>
      </c>
    </row>
    <row r="182" ht="15.75" customHeight="1">
      <c r="A182" s="12" t="s">
        <v>143</v>
      </c>
      <c r="B182" s="12">
        <f t="shared" ref="B182:I182" si="200">B185+B189</f>
        <v>535</v>
      </c>
      <c r="C182" s="12">
        <f t="shared" si="200"/>
        <v>514</v>
      </c>
      <c r="D182" s="12">
        <f t="shared" si="200"/>
        <v>505</v>
      </c>
      <c r="E182" s="12">
        <f t="shared" si="200"/>
        <v>343</v>
      </c>
      <c r="F182" s="12">
        <f t="shared" si="200"/>
        <v>334</v>
      </c>
      <c r="G182" s="12">
        <f t="shared" si="200"/>
        <v>322</v>
      </c>
      <c r="H182" s="12">
        <f t="shared" si="200"/>
        <v>569</v>
      </c>
      <c r="I182" s="12">
        <f t="shared" si="200"/>
        <v>691</v>
      </c>
      <c r="J182" s="12">
        <f t="shared" ref="J182:N182" si="201">J184*J164</f>
        <v>821.495375</v>
      </c>
      <c r="K182" s="12">
        <f t="shared" si="201"/>
        <v>794.0887524</v>
      </c>
      <c r="L182" s="12">
        <f t="shared" si="201"/>
        <v>849.3961816</v>
      </c>
      <c r="M182" s="12">
        <f t="shared" si="201"/>
        <v>863.0684294</v>
      </c>
      <c r="N182" s="12">
        <f t="shared" si="201"/>
        <v>874.0041279</v>
      </c>
    </row>
    <row r="183" ht="15.75" customHeight="1">
      <c r="A183" s="41" t="s">
        <v>142</v>
      </c>
      <c r="B183" s="42" t="str">
        <f t="shared" ref="B183:I183" si="202">+IFERROR(B182/A182-1,"nm")</f>
        <v>nm</v>
      </c>
      <c r="C183" s="42">
        <f t="shared" si="202"/>
        <v>-0.03925233645</v>
      </c>
      <c r="D183" s="42">
        <f t="shared" si="202"/>
        <v>-0.01750972763</v>
      </c>
      <c r="E183" s="42">
        <f t="shared" si="202"/>
        <v>-0.3207920792</v>
      </c>
      <c r="F183" s="42">
        <f t="shared" si="202"/>
        <v>-0.02623906706</v>
      </c>
      <c r="G183" s="42">
        <f t="shared" si="202"/>
        <v>-0.03592814371</v>
      </c>
      <c r="H183" s="42">
        <f t="shared" si="202"/>
        <v>0.7670807453</v>
      </c>
      <c r="I183" s="42">
        <f t="shared" si="202"/>
        <v>0.2144112478</v>
      </c>
      <c r="J183" s="42">
        <f t="shared" ref="J183:N183" si="203">(J182-I182)/I182</f>
        <v>0.1888500362</v>
      </c>
      <c r="K183" s="42">
        <f t="shared" si="203"/>
        <v>-0.03336187087</v>
      </c>
      <c r="L183" s="42">
        <f t="shared" si="203"/>
        <v>0.06964892658</v>
      </c>
      <c r="M183" s="42">
        <f t="shared" si="203"/>
        <v>0.01609643197</v>
      </c>
      <c r="N183" s="42">
        <f t="shared" si="203"/>
        <v>0.01267072</v>
      </c>
    </row>
    <row r="184" ht="15.75" customHeight="1">
      <c r="A184" s="41" t="s">
        <v>144</v>
      </c>
      <c r="B184" s="42">
        <f t="shared" ref="B184:I184" si="204">+IFERROR(B182/B$164,"nm")</f>
        <v>0.2699293643</v>
      </c>
      <c r="C184" s="42">
        <f t="shared" si="204"/>
        <v>0.262915601</v>
      </c>
      <c r="D184" s="42">
        <f t="shared" si="204"/>
        <v>0.2473065622</v>
      </c>
      <c r="E184" s="42">
        <f t="shared" si="204"/>
        <v>0.1818663839</v>
      </c>
      <c r="F184" s="42">
        <f t="shared" si="204"/>
        <v>0.1752360965</v>
      </c>
      <c r="G184" s="42">
        <f t="shared" si="204"/>
        <v>0.1744312026</v>
      </c>
      <c r="H184" s="42">
        <f t="shared" si="204"/>
        <v>0.2580498866</v>
      </c>
      <c r="I184" s="42">
        <f t="shared" si="204"/>
        <v>0.2945439045</v>
      </c>
      <c r="J184" s="42">
        <f>33.5%</f>
        <v>0.335</v>
      </c>
      <c r="K184" s="42">
        <v>0.308</v>
      </c>
      <c r="L184" s="42">
        <v>0.312</v>
      </c>
      <c r="M184" s="42">
        <v>0.302</v>
      </c>
      <c r="N184" s="49">
        <v>0.29</v>
      </c>
    </row>
    <row r="185" ht="15.75" customHeight="1">
      <c r="A185" s="12" t="s">
        <v>145</v>
      </c>
      <c r="B185" s="12">
        <f>Historicals!B175</f>
        <v>18</v>
      </c>
      <c r="C185" s="12">
        <f>Historicals!C175</f>
        <v>27</v>
      </c>
      <c r="D185" s="12">
        <f>Historicals!D175</f>
        <v>28</v>
      </c>
      <c r="E185" s="12">
        <f>Historicals!E175</f>
        <v>33</v>
      </c>
      <c r="F185" s="12">
        <f>Historicals!F175</f>
        <v>31</v>
      </c>
      <c r="G185" s="12">
        <f>Historicals!G175</f>
        <v>25</v>
      </c>
      <c r="H185" s="12">
        <f>Historicals!H175</f>
        <v>26</v>
      </c>
      <c r="I185" s="12">
        <f>Historicals!I175</f>
        <v>22</v>
      </c>
      <c r="J185" s="12">
        <f t="shared" ref="J185:N185" si="205">I185*(1+J186)</f>
        <v>17.6</v>
      </c>
      <c r="K185" s="12">
        <f t="shared" si="205"/>
        <v>15.4352</v>
      </c>
      <c r="L185" s="12">
        <f t="shared" si="205"/>
        <v>14.5708288</v>
      </c>
      <c r="M185" s="12">
        <f t="shared" si="205"/>
        <v>14.8768162</v>
      </c>
      <c r="N185" s="12">
        <f t="shared" si="205"/>
        <v>15.24873661</v>
      </c>
    </row>
    <row r="186" ht="15.75" customHeight="1">
      <c r="A186" s="41" t="s">
        <v>142</v>
      </c>
      <c r="B186" s="42" t="str">
        <f t="shared" ref="B186:I186" si="206">+IFERROR(B185/A185-1,"nm")</f>
        <v>nm</v>
      </c>
      <c r="C186" s="42">
        <f t="shared" si="206"/>
        <v>0.5</v>
      </c>
      <c r="D186" s="42">
        <f t="shared" si="206"/>
        <v>0.03703703704</v>
      </c>
      <c r="E186" s="42">
        <f t="shared" si="206"/>
        <v>0.1785714286</v>
      </c>
      <c r="F186" s="42">
        <f t="shared" si="206"/>
        <v>-0.06060606061</v>
      </c>
      <c r="G186" s="42">
        <f t="shared" si="206"/>
        <v>-0.1935483871</v>
      </c>
      <c r="H186" s="42">
        <f t="shared" si="206"/>
        <v>0.04</v>
      </c>
      <c r="I186" s="42">
        <f t="shared" si="206"/>
        <v>-0.1538461538</v>
      </c>
      <c r="J186" s="42">
        <f>-0.2</f>
        <v>-0.2</v>
      </c>
      <c r="K186" s="42">
        <v>-0.123</v>
      </c>
      <c r="L186" s="42">
        <v>-0.056</v>
      </c>
      <c r="M186" s="42">
        <v>0.021</v>
      </c>
      <c r="N186" s="42">
        <v>0.025</v>
      </c>
      <c r="P186" s="2" t="s">
        <v>184</v>
      </c>
    </row>
    <row r="187" ht="15.75" customHeight="1">
      <c r="A187" s="41" t="s">
        <v>146</v>
      </c>
      <c r="B187" s="42">
        <f t="shared" ref="B187:N187" si="207">+IFERROR(B185/B$164,"nm")</f>
        <v>0.009081735621</v>
      </c>
      <c r="C187" s="42">
        <f t="shared" si="207"/>
        <v>0.01381074169</v>
      </c>
      <c r="D187" s="42">
        <f t="shared" si="207"/>
        <v>0.01371204701</v>
      </c>
      <c r="E187" s="42">
        <f t="shared" si="207"/>
        <v>0.01749734889</v>
      </c>
      <c r="F187" s="42">
        <f t="shared" si="207"/>
        <v>0.01626442812</v>
      </c>
      <c r="G187" s="42">
        <f t="shared" si="207"/>
        <v>0.01354279523</v>
      </c>
      <c r="H187" s="42">
        <f t="shared" si="207"/>
        <v>0.01179138322</v>
      </c>
      <c r="I187" s="42">
        <f t="shared" si="207"/>
        <v>0.009377664109</v>
      </c>
      <c r="J187" s="42">
        <f t="shared" si="207"/>
        <v>0.00717715544</v>
      </c>
      <c r="K187" s="42">
        <f t="shared" si="207"/>
        <v>0.005986788738</v>
      </c>
      <c r="L187" s="42">
        <f t="shared" si="207"/>
        <v>0.005352153311</v>
      </c>
      <c r="M187" s="42">
        <f t="shared" si="207"/>
        <v>0.005205610981</v>
      </c>
      <c r="N187" s="42">
        <f t="shared" si="207"/>
        <v>0.005059625551</v>
      </c>
    </row>
    <row r="188" ht="15.75" customHeight="1">
      <c r="A188" s="41" t="s">
        <v>159</v>
      </c>
      <c r="B188" s="42">
        <f t="shared" ref="B188:N188" si="208">+IFERROR(B185/B195,"nm")</f>
        <v>0.1475409836</v>
      </c>
      <c r="C188" s="42">
        <f t="shared" si="208"/>
        <v>0.216</v>
      </c>
      <c r="D188" s="42">
        <f t="shared" si="208"/>
        <v>0.224</v>
      </c>
      <c r="E188" s="42">
        <f t="shared" si="208"/>
        <v>0.2869565217</v>
      </c>
      <c r="F188" s="42">
        <f t="shared" si="208"/>
        <v>0.31</v>
      </c>
      <c r="G188" s="42">
        <f t="shared" si="208"/>
        <v>0.3125</v>
      </c>
      <c r="H188" s="42">
        <f t="shared" si="208"/>
        <v>0.4126984127</v>
      </c>
      <c r="I188" s="42">
        <f t="shared" si="208"/>
        <v>0.4489795918</v>
      </c>
      <c r="J188" s="42">
        <f t="shared" si="208"/>
        <v>0.4726100967</v>
      </c>
      <c r="K188" s="42">
        <f t="shared" si="208"/>
        <v>0.5623867772</v>
      </c>
      <c r="L188" s="42">
        <f t="shared" si="208"/>
        <v>0.7116529727</v>
      </c>
      <c r="M188" s="42">
        <f t="shared" si="208"/>
        <v>0.9375454002</v>
      </c>
      <c r="N188" s="42">
        <f t="shared" si="208"/>
        <v>1.222625999</v>
      </c>
    </row>
    <row r="189" ht="15.75" customHeight="1">
      <c r="A189" s="12" t="s">
        <v>147</v>
      </c>
      <c r="B189" s="12">
        <f>Historicals!B142</f>
        <v>517</v>
      </c>
      <c r="C189" s="12">
        <f>Historicals!C142</f>
        <v>487</v>
      </c>
      <c r="D189" s="12">
        <f>Historicals!D142</f>
        <v>477</v>
      </c>
      <c r="E189" s="12">
        <f>Historicals!E142</f>
        <v>310</v>
      </c>
      <c r="F189" s="12">
        <f>Historicals!F142</f>
        <v>303</v>
      </c>
      <c r="G189" s="12">
        <f>Historicals!G142</f>
        <v>297</v>
      </c>
      <c r="H189" s="12">
        <f>Historicals!H142</f>
        <v>543</v>
      </c>
      <c r="I189" s="12">
        <f>Historicals!I142</f>
        <v>669</v>
      </c>
      <c r="J189" s="12">
        <f t="shared" ref="J189:N189" si="209">I189*(1+J190)</f>
        <v>802.8</v>
      </c>
      <c r="K189" s="12">
        <f t="shared" si="209"/>
        <v>987.444</v>
      </c>
      <c r="L189" s="12">
        <f t="shared" si="209"/>
        <v>1165.18392</v>
      </c>
      <c r="M189" s="12">
        <f t="shared" si="209"/>
        <v>1367.925922</v>
      </c>
      <c r="N189" s="12">
        <f t="shared" si="209"/>
        <v>1582.690292</v>
      </c>
    </row>
    <row r="190" ht="15.75" customHeight="1">
      <c r="A190" s="41" t="s">
        <v>142</v>
      </c>
      <c r="B190" s="50" t="str">
        <f t="shared" ref="B190:I190" si="210">+IFERROR(B189/A189-1,"nm")</f>
        <v>nm</v>
      </c>
      <c r="C190" s="50">
        <f t="shared" si="210"/>
        <v>-0.0580270793</v>
      </c>
      <c r="D190" s="50">
        <f t="shared" si="210"/>
        <v>-0.0205338809</v>
      </c>
      <c r="E190" s="50">
        <f t="shared" si="210"/>
        <v>-0.3501048218</v>
      </c>
      <c r="F190" s="50">
        <f t="shared" si="210"/>
        <v>-0.02258064516</v>
      </c>
      <c r="G190" s="50">
        <f t="shared" si="210"/>
        <v>-0.0198019802</v>
      </c>
      <c r="H190" s="50">
        <f t="shared" si="210"/>
        <v>0.8282828283</v>
      </c>
      <c r="I190" s="50">
        <f t="shared" si="210"/>
        <v>0.2320441989</v>
      </c>
      <c r="J190" s="42">
        <f>0.2</f>
        <v>0.2</v>
      </c>
      <c r="K190" s="42">
        <v>0.23</v>
      </c>
      <c r="L190" s="42">
        <v>0.18</v>
      </c>
      <c r="M190" s="42">
        <v>0.174</v>
      </c>
      <c r="N190" s="42">
        <v>0.157</v>
      </c>
      <c r="P190" s="2" t="s">
        <v>185</v>
      </c>
    </row>
    <row r="191" ht="15.75" customHeight="1">
      <c r="A191" s="41" t="s">
        <v>144</v>
      </c>
      <c r="B191" s="50">
        <f t="shared" ref="B191:N191" si="211">+IFERROR(B189/B$164,"nm")</f>
        <v>0.2608476287</v>
      </c>
      <c r="C191" s="50">
        <f t="shared" si="211"/>
        <v>0.2491048593</v>
      </c>
      <c r="D191" s="50">
        <f t="shared" si="211"/>
        <v>0.2335945152</v>
      </c>
      <c r="E191" s="50">
        <f t="shared" si="211"/>
        <v>0.164369035</v>
      </c>
      <c r="F191" s="50">
        <f t="shared" si="211"/>
        <v>0.1589716684</v>
      </c>
      <c r="G191" s="50">
        <f t="shared" si="211"/>
        <v>0.1608884074</v>
      </c>
      <c r="H191" s="50">
        <f t="shared" si="211"/>
        <v>0.2462585034</v>
      </c>
      <c r="I191" s="50">
        <f t="shared" si="211"/>
        <v>0.2851662404</v>
      </c>
      <c r="J191" s="50">
        <f t="shared" si="211"/>
        <v>0.3273761584</v>
      </c>
      <c r="K191" s="50">
        <f t="shared" si="211"/>
        <v>0.3829959196</v>
      </c>
      <c r="L191" s="50">
        <f t="shared" si="211"/>
        <v>0.4279950757</v>
      </c>
      <c r="M191" s="50">
        <f t="shared" si="211"/>
        <v>0.4786568647</v>
      </c>
      <c r="N191" s="50">
        <f t="shared" si="211"/>
        <v>0.5251464724</v>
      </c>
    </row>
    <row r="192" ht="15.75" customHeight="1">
      <c r="A192" s="12" t="s">
        <v>148</v>
      </c>
      <c r="B192" s="12">
        <f>Historicals!B164</f>
        <v>69</v>
      </c>
      <c r="C192" s="12">
        <f>Historicals!C164</f>
        <v>39</v>
      </c>
      <c r="D192" s="12">
        <f>Historicals!D164</f>
        <v>30</v>
      </c>
      <c r="E192" s="12">
        <f>Historicals!E164</f>
        <v>22</v>
      </c>
      <c r="F192" s="12">
        <f>Historicals!F164</f>
        <v>18</v>
      </c>
      <c r="G192" s="12">
        <f>Historicals!G164</f>
        <v>12</v>
      </c>
      <c r="H192" s="12">
        <f>Historicals!H164</f>
        <v>7</v>
      </c>
      <c r="I192" s="12">
        <f>Historicals!I164</f>
        <v>9</v>
      </c>
      <c r="J192" s="12">
        <f t="shared" ref="J192:N192" si="212">I192*(1+J193)</f>
        <v>11.25</v>
      </c>
      <c r="K192" s="12">
        <f t="shared" si="212"/>
        <v>13.8825</v>
      </c>
      <c r="L192" s="12">
        <f t="shared" si="212"/>
        <v>17.04771</v>
      </c>
      <c r="M192" s="12">
        <f t="shared" si="212"/>
        <v>20.67887223</v>
      </c>
      <c r="N192" s="12">
        <f t="shared" si="212"/>
        <v>25.70383818</v>
      </c>
    </row>
    <row r="193" ht="15.75" customHeight="1">
      <c r="A193" s="41" t="s">
        <v>142</v>
      </c>
      <c r="B193" s="42" t="str">
        <f t="shared" ref="B193:I193" si="213">+IFERROR(B192/A192-1,"nm")</f>
        <v>nm</v>
      </c>
      <c r="C193" s="42">
        <f t="shared" si="213"/>
        <v>-0.4347826087</v>
      </c>
      <c r="D193" s="42">
        <f t="shared" si="213"/>
        <v>-0.2307692308</v>
      </c>
      <c r="E193" s="42">
        <f t="shared" si="213"/>
        <v>-0.2666666667</v>
      </c>
      <c r="F193" s="42">
        <f t="shared" si="213"/>
        <v>-0.1818181818</v>
      </c>
      <c r="G193" s="42">
        <f t="shared" si="213"/>
        <v>-0.3333333333</v>
      </c>
      <c r="H193" s="42">
        <f t="shared" si="213"/>
        <v>-0.4166666667</v>
      </c>
      <c r="I193" s="42">
        <f t="shared" si="213"/>
        <v>0.2857142857</v>
      </c>
      <c r="J193" s="42">
        <f>0.25</f>
        <v>0.25</v>
      </c>
      <c r="K193" s="42">
        <v>0.234</v>
      </c>
      <c r="L193" s="42">
        <v>0.228</v>
      </c>
      <c r="M193" s="42">
        <v>0.213</v>
      </c>
      <c r="N193" s="42">
        <v>0.243</v>
      </c>
      <c r="P193" s="2" t="s">
        <v>186</v>
      </c>
    </row>
    <row r="194" ht="15.75" customHeight="1">
      <c r="A194" s="41" t="s">
        <v>146</v>
      </c>
      <c r="B194" s="42">
        <f t="shared" ref="B194:N194" si="214">+IFERROR(B192/B$164,"nm")</f>
        <v>0.03481331988</v>
      </c>
      <c r="C194" s="42">
        <f t="shared" si="214"/>
        <v>0.0199488491</v>
      </c>
      <c r="D194" s="42">
        <f t="shared" si="214"/>
        <v>0.01469147894</v>
      </c>
      <c r="E194" s="42">
        <f t="shared" si="214"/>
        <v>0.01166489926</v>
      </c>
      <c r="F194" s="42">
        <f t="shared" si="214"/>
        <v>0.00944386149</v>
      </c>
      <c r="G194" s="42">
        <f t="shared" si="214"/>
        <v>0.006500541712</v>
      </c>
      <c r="H194" s="42">
        <f t="shared" si="214"/>
        <v>0.003174603175</v>
      </c>
      <c r="I194" s="42">
        <f t="shared" si="214"/>
        <v>0.003836317136</v>
      </c>
      <c r="J194" s="42">
        <f t="shared" si="214"/>
        <v>0.004587670381</v>
      </c>
      <c r="K194" s="42">
        <f t="shared" si="214"/>
        <v>0.005384549255</v>
      </c>
      <c r="L194" s="42">
        <f t="shared" si="214"/>
        <v>0.006261960714</v>
      </c>
      <c r="M194" s="42">
        <f t="shared" si="214"/>
        <v>0.007235833452</v>
      </c>
      <c r="N194" s="42">
        <f t="shared" si="214"/>
        <v>0.008528693212</v>
      </c>
    </row>
    <row r="195" ht="15.75" customHeight="1">
      <c r="A195" s="12" t="s">
        <v>149</v>
      </c>
      <c r="B195" s="12">
        <f>Historicals!B153</f>
        <v>122</v>
      </c>
      <c r="C195" s="12">
        <f>Historicals!C153</f>
        <v>125</v>
      </c>
      <c r="D195" s="12">
        <f>Historicals!D153</f>
        <v>125</v>
      </c>
      <c r="E195" s="12">
        <f>Historicals!E153</f>
        <v>115</v>
      </c>
      <c r="F195" s="12">
        <f>Historicals!F153</f>
        <v>100</v>
      </c>
      <c r="G195" s="12">
        <f>Historicals!G153</f>
        <v>80</v>
      </c>
      <c r="H195" s="12">
        <f>Historicals!H153</f>
        <v>63</v>
      </c>
      <c r="I195" s="12">
        <f>Historicals!I153</f>
        <v>49</v>
      </c>
      <c r="J195" s="12">
        <f t="shared" ref="J195:N195" si="215">I195*(1+J196)</f>
        <v>37.24</v>
      </c>
      <c r="K195" s="12">
        <f t="shared" si="215"/>
        <v>27.44588</v>
      </c>
      <c r="L195" s="12">
        <f t="shared" si="215"/>
        <v>20.47462648</v>
      </c>
      <c r="M195" s="12">
        <f t="shared" si="215"/>
        <v>15.86783552</v>
      </c>
      <c r="N195" s="12">
        <f t="shared" si="215"/>
        <v>12.47211872</v>
      </c>
    </row>
    <row r="196" ht="15.75" customHeight="1">
      <c r="A196" s="41" t="s">
        <v>142</v>
      </c>
      <c r="B196" s="42" t="str">
        <f t="shared" ref="B196:I196" si="216">+IFERROR(B195/A195-1,"nm")</f>
        <v>nm</v>
      </c>
      <c r="C196" s="42">
        <f t="shared" si="216"/>
        <v>0.02459016393</v>
      </c>
      <c r="D196" s="42">
        <f t="shared" si="216"/>
        <v>0</v>
      </c>
      <c r="E196" s="42">
        <f t="shared" si="216"/>
        <v>-0.08</v>
      </c>
      <c r="F196" s="42">
        <f t="shared" si="216"/>
        <v>-0.1304347826</v>
      </c>
      <c r="G196" s="42">
        <f t="shared" si="216"/>
        <v>-0.2</v>
      </c>
      <c r="H196" s="42">
        <f t="shared" si="216"/>
        <v>-0.2125</v>
      </c>
      <c r="I196" s="42">
        <f t="shared" si="216"/>
        <v>-0.2222222222</v>
      </c>
      <c r="J196" s="42">
        <f>-0.24</f>
        <v>-0.24</v>
      </c>
      <c r="K196" s="42">
        <v>-0.263</v>
      </c>
      <c r="L196" s="42">
        <v>-0.254</v>
      </c>
      <c r="M196" s="42">
        <v>-0.225</v>
      </c>
      <c r="N196" s="42">
        <v>-0.214</v>
      </c>
      <c r="P196" s="2" t="s">
        <v>187</v>
      </c>
    </row>
    <row r="197" ht="15.75" customHeight="1">
      <c r="A197" s="41" t="s">
        <v>146</v>
      </c>
      <c r="B197" s="42">
        <f t="shared" ref="B197:N197" si="217">+IFERROR(B195/B$164,"nm")</f>
        <v>0.06155398587</v>
      </c>
      <c r="C197" s="42">
        <f t="shared" si="217"/>
        <v>0.06393861893</v>
      </c>
      <c r="D197" s="42">
        <f t="shared" si="217"/>
        <v>0.06121449559</v>
      </c>
      <c r="E197" s="42">
        <f t="shared" si="217"/>
        <v>0.06097560976</v>
      </c>
      <c r="F197" s="42">
        <f t="shared" si="217"/>
        <v>0.05246589717</v>
      </c>
      <c r="G197" s="42">
        <f t="shared" si="217"/>
        <v>0.04333694475</v>
      </c>
      <c r="H197" s="42">
        <f t="shared" si="217"/>
        <v>0.02857142857</v>
      </c>
      <c r="I197" s="42">
        <f t="shared" si="217"/>
        <v>0.02088661552</v>
      </c>
      <c r="J197" s="42">
        <f t="shared" si="217"/>
        <v>0.01518620844</v>
      </c>
      <c r="K197" s="42">
        <f t="shared" si="217"/>
        <v>0.01064532272</v>
      </c>
      <c r="L197" s="42">
        <f t="shared" si="217"/>
        <v>0.007520734847</v>
      </c>
      <c r="M197" s="42">
        <f t="shared" si="217"/>
        <v>0.005552382829</v>
      </c>
      <c r="N197" s="42">
        <f t="shared" si="217"/>
        <v>0.004138326483</v>
      </c>
    </row>
    <row r="198" ht="15.75" customHeight="1">
      <c r="A198" s="43" t="s">
        <v>124</v>
      </c>
      <c r="B198" s="43"/>
      <c r="C198" s="43"/>
      <c r="D198" s="43"/>
      <c r="E198" s="43"/>
      <c r="F198" s="43"/>
      <c r="G198" s="43"/>
      <c r="H198" s="43"/>
      <c r="I198" s="43"/>
      <c r="J198" s="39"/>
      <c r="K198" s="39"/>
      <c r="L198" s="39"/>
      <c r="M198" s="39"/>
      <c r="N198" s="39"/>
    </row>
    <row r="199" ht="15.75" customHeight="1">
      <c r="A199" s="12" t="s">
        <v>150</v>
      </c>
      <c r="B199" s="12">
        <f>Historicals!B132</f>
        <v>-82</v>
      </c>
      <c r="C199" s="12">
        <f>Historicals!C132</f>
        <v>-86</v>
      </c>
      <c r="D199" s="12">
        <f>Historicals!D132</f>
        <v>75</v>
      </c>
      <c r="E199" s="12">
        <f>Historicals!E132</f>
        <v>26</v>
      </c>
      <c r="F199" s="12">
        <f>Historicals!F132</f>
        <v>-7</v>
      </c>
      <c r="G199" s="12">
        <f>Historicals!G132</f>
        <v>-11</v>
      </c>
      <c r="H199" s="12">
        <f>Historicals!H132</f>
        <v>40</v>
      </c>
      <c r="I199" s="12">
        <f>Historicals!I132</f>
        <v>-72</v>
      </c>
      <c r="J199" s="12">
        <f t="shared" ref="J199:N199" si="218">I199*(1+J200)</f>
        <v>72</v>
      </c>
      <c r="K199" s="12">
        <f t="shared" si="218"/>
        <v>-59.04</v>
      </c>
      <c r="L199" s="12">
        <f t="shared" si="218"/>
        <v>39.5568</v>
      </c>
      <c r="M199" s="12">
        <f t="shared" si="218"/>
        <v>-21.75624</v>
      </c>
      <c r="N199" s="12">
        <f t="shared" si="218"/>
        <v>8.4849336</v>
      </c>
    </row>
    <row r="200" ht="15.75" customHeight="1">
      <c r="A200" s="41" t="s">
        <v>142</v>
      </c>
      <c r="B200" s="42" t="str">
        <f t="shared" ref="B200:I200" si="219">+IFERROR(B199/A199-1,"nm")</f>
        <v>nm</v>
      </c>
      <c r="C200" s="42">
        <f t="shared" si="219"/>
        <v>0.0487804878</v>
      </c>
      <c r="D200" s="42">
        <f t="shared" si="219"/>
        <v>-1.872093023</v>
      </c>
      <c r="E200" s="42">
        <f t="shared" si="219"/>
        <v>-0.6533333333</v>
      </c>
      <c r="F200" s="42">
        <f t="shared" si="219"/>
        <v>-1.269230769</v>
      </c>
      <c r="G200" s="42">
        <f t="shared" si="219"/>
        <v>0.5714285714</v>
      </c>
      <c r="H200" s="42">
        <f t="shared" si="219"/>
        <v>-4.636363636</v>
      </c>
      <c r="I200" s="42">
        <f t="shared" si="219"/>
        <v>-2.8</v>
      </c>
      <c r="J200" s="42">
        <f>-2</f>
        <v>-2</v>
      </c>
      <c r="K200" s="42">
        <v>-1.82</v>
      </c>
      <c r="L200" s="42">
        <v>-1.67</v>
      </c>
      <c r="M200" s="42">
        <v>-1.55</v>
      </c>
      <c r="N200" s="42">
        <v>-1.39</v>
      </c>
      <c r="P200" s="2" t="s">
        <v>188</v>
      </c>
    </row>
    <row r="201" ht="15.75" customHeight="1">
      <c r="A201" s="12" t="s">
        <v>143</v>
      </c>
      <c r="B201" s="12">
        <f t="shared" ref="B201:I201" si="220">B204+B208</f>
        <v>-1026</v>
      </c>
      <c r="C201" s="12">
        <f t="shared" si="220"/>
        <v>-1089</v>
      </c>
      <c r="D201" s="12">
        <f t="shared" si="220"/>
        <v>-633</v>
      </c>
      <c r="E201" s="12">
        <f t="shared" si="220"/>
        <v>-1346</v>
      </c>
      <c r="F201" s="12">
        <f t="shared" si="220"/>
        <v>-1694</v>
      </c>
      <c r="G201" s="12">
        <f t="shared" si="220"/>
        <v>-1855</v>
      </c>
      <c r="H201" s="12">
        <f t="shared" si="220"/>
        <v>-2120</v>
      </c>
      <c r="I201" s="12">
        <f t="shared" si="220"/>
        <v>-2085</v>
      </c>
      <c r="J201" s="12">
        <f t="shared" ref="J201:N201" si="221">J203*J199</f>
        <v>2084.976</v>
      </c>
      <c r="K201" s="12">
        <f t="shared" si="221"/>
        <v>-1674.25632</v>
      </c>
      <c r="L201" s="12">
        <f t="shared" si="221"/>
        <v>1101.65688</v>
      </c>
      <c r="M201" s="12">
        <f t="shared" si="221"/>
        <v>-643.1144544</v>
      </c>
      <c r="N201" s="12">
        <f t="shared" si="221"/>
        <v>244.0266903</v>
      </c>
    </row>
    <row r="202" ht="15.75" customHeight="1">
      <c r="A202" s="41" t="s">
        <v>142</v>
      </c>
      <c r="B202" s="42" t="str">
        <f t="shared" ref="B202:N202" si="222">+IFERROR(B201/A201-1,"nm")</f>
        <v>nm</v>
      </c>
      <c r="C202" s="42">
        <f t="shared" si="222"/>
        <v>0.06140350877</v>
      </c>
      <c r="D202" s="42">
        <f t="shared" si="222"/>
        <v>-0.4187327824</v>
      </c>
      <c r="E202" s="42">
        <f t="shared" si="222"/>
        <v>1.126382306</v>
      </c>
      <c r="F202" s="42">
        <f t="shared" si="222"/>
        <v>0.2585438336</v>
      </c>
      <c r="G202" s="42">
        <f t="shared" si="222"/>
        <v>0.09504132231</v>
      </c>
      <c r="H202" s="42">
        <f t="shared" si="222"/>
        <v>0.1428571429</v>
      </c>
      <c r="I202" s="42">
        <f t="shared" si="222"/>
        <v>-0.01650943396</v>
      </c>
      <c r="J202" s="42">
        <f t="shared" si="222"/>
        <v>-1.999988489</v>
      </c>
      <c r="K202" s="42">
        <f t="shared" si="222"/>
        <v>-1.803009876</v>
      </c>
      <c r="L202" s="42">
        <f t="shared" si="222"/>
        <v>-1.657997743</v>
      </c>
      <c r="M202" s="42">
        <f t="shared" si="222"/>
        <v>-1.583770197</v>
      </c>
      <c r="N202" s="42">
        <f t="shared" si="222"/>
        <v>-1.379445196</v>
      </c>
    </row>
    <row r="203" ht="15.75" customHeight="1">
      <c r="A203" s="41" t="s">
        <v>144</v>
      </c>
      <c r="B203" s="42">
        <f t="shared" ref="B203:I203" si="223">+IFERROR(B201/B$199,"nm")</f>
        <v>12.51219512</v>
      </c>
      <c r="C203" s="42">
        <f t="shared" si="223"/>
        <v>12.6627907</v>
      </c>
      <c r="D203" s="42">
        <f t="shared" si="223"/>
        <v>-8.44</v>
      </c>
      <c r="E203" s="42">
        <f t="shared" si="223"/>
        <v>-51.76923077</v>
      </c>
      <c r="F203" s="42">
        <f t="shared" si="223"/>
        <v>242</v>
      </c>
      <c r="G203" s="42">
        <f t="shared" si="223"/>
        <v>168.6363636</v>
      </c>
      <c r="H203" s="42">
        <f t="shared" si="223"/>
        <v>-53</v>
      </c>
      <c r="I203" s="42">
        <f t="shared" si="223"/>
        <v>28.95833333</v>
      </c>
      <c r="J203" s="45">
        <v>28.958</v>
      </c>
      <c r="K203" s="45">
        <v>28.358</v>
      </c>
      <c r="L203" s="45">
        <v>27.85</v>
      </c>
      <c r="M203" s="45">
        <v>29.56</v>
      </c>
      <c r="N203" s="45">
        <v>28.76</v>
      </c>
    </row>
    <row r="204" ht="15.75" customHeight="1">
      <c r="A204" s="12" t="s">
        <v>145</v>
      </c>
      <c r="B204" s="12">
        <f>Historicals!B176</f>
        <v>75</v>
      </c>
      <c r="C204" s="12">
        <f>Historicals!C176</f>
        <v>84</v>
      </c>
      <c r="D204" s="12">
        <f>Historicals!D176</f>
        <v>91</v>
      </c>
      <c r="E204" s="12">
        <f>Historicals!E176</f>
        <v>110</v>
      </c>
      <c r="F204" s="12">
        <f>Historicals!F176</f>
        <v>116</v>
      </c>
      <c r="G204" s="12">
        <f>Historicals!G176</f>
        <v>112</v>
      </c>
      <c r="H204" s="12">
        <f>Historicals!H176</f>
        <v>141</v>
      </c>
      <c r="I204" s="12">
        <f>Historicals!I176</f>
        <v>134</v>
      </c>
      <c r="J204" s="12">
        <f t="shared" ref="J204:N204" si="224">I204*(1+J205)</f>
        <v>140.7</v>
      </c>
      <c r="K204" s="12">
        <f t="shared" si="224"/>
        <v>150.1269</v>
      </c>
      <c r="L204" s="12">
        <f t="shared" si="224"/>
        <v>159.5848947</v>
      </c>
      <c r="M204" s="12">
        <f t="shared" si="224"/>
        <v>167.2449696</v>
      </c>
      <c r="N204" s="12">
        <f t="shared" si="224"/>
        <v>174.2692584</v>
      </c>
    </row>
    <row r="205" ht="15.75" customHeight="1">
      <c r="A205" s="41" t="s">
        <v>142</v>
      </c>
      <c r="B205" s="42" t="str">
        <f t="shared" ref="B205:I205" si="225">+IFERROR(B204/A204-1,"nm")</f>
        <v>nm</v>
      </c>
      <c r="C205" s="42">
        <f t="shared" si="225"/>
        <v>0.12</v>
      </c>
      <c r="D205" s="42">
        <f t="shared" si="225"/>
        <v>0.08333333333</v>
      </c>
      <c r="E205" s="42">
        <f t="shared" si="225"/>
        <v>0.2087912088</v>
      </c>
      <c r="F205" s="42">
        <f t="shared" si="225"/>
        <v>0.05454545455</v>
      </c>
      <c r="G205" s="42">
        <f t="shared" si="225"/>
        <v>-0.03448275862</v>
      </c>
      <c r="H205" s="42">
        <f t="shared" si="225"/>
        <v>0.2589285714</v>
      </c>
      <c r="I205" s="42">
        <f t="shared" si="225"/>
        <v>-0.04964539007</v>
      </c>
      <c r="J205" s="42">
        <f>0.05</f>
        <v>0.05</v>
      </c>
      <c r="K205" s="42">
        <v>0.067</v>
      </c>
      <c r="L205" s="42">
        <v>0.063</v>
      </c>
      <c r="M205" s="42">
        <v>0.048</v>
      </c>
      <c r="N205" s="42">
        <v>0.042</v>
      </c>
      <c r="P205" s="2" t="s">
        <v>189</v>
      </c>
    </row>
    <row r="206" ht="15.75" customHeight="1">
      <c r="A206" s="41" t="s">
        <v>146</v>
      </c>
      <c r="B206" s="42">
        <f t="shared" ref="B206:J206" si="226">+IFERROR(B204/B$199,"nm")</f>
        <v>-0.9146341463</v>
      </c>
      <c r="C206" s="42">
        <f t="shared" si="226"/>
        <v>-0.976744186</v>
      </c>
      <c r="D206" s="42">
        <f t="shared" si="226"/>
        <v>1.213333333</v>
      </c>
      <c r="E206" s="42">
        <f t="shared" si="226"/>
        <v>4.230769231</v>
      </c>
      <c r="F206" s="42">
        <f t="shared" si="226"/>
        <v>-16.57142857</v>
      </c>
      <c r="G206" s="42">
        <f t="shared" si="226"/>
        <v>-10.18181818</v>
      </c>
      <c r="H206" s="42">
        <f t="shared" si="226"/>
        <v>3.525</v>
      </c>
      <c r="I206" s="42">
        <f t="shared" si="226"/>
        <v>-1.861111111</v>
      </c>
      <c r="J206" s="42">
        <f t="shared" si="226"/>
        <v>1.954166667</v>
      </c>
      <c r="K206" s="42">
        <f t="shared" ref="K206:N206" si="227">+IFERROR(K204/K$21,"nm")</f>
        <v>0.007107292051</v>
      </c>
      <c r="L206" s="42">
        <f t="shared" si="227"/>
        <v>0.006954163462</v>
      </c>
      <c r="M206" s="42">
        <f t="shared" si="227"/>
        <v>0.006793571854</v>
      </c>
      <c r="N206" s="42">
        <f t="shared" si="227"/>
        <v>0.006663654469</v>
      </c>
    </row>
    <row r="207" ht="15.75" customHeight="1">
      <c r="A207" s="41" t="s">
        <v>159</v>
      </c>
      <c r="B207" s="42">
        <f t="shared" ref="B207:J207" si="228">+IFERROR(B204/B214,"nm")</f>
        <v>0.1051893408</v>
      </c>
      <c r="C207" s="42">
        <f t="shared" si="228"/>
        <v>0.08964781217</v>
      </c>
      <c r="D207" s="42">
        <f t="shared" si="228"/>
        <v>0.07350565428</v>
      </c>
      <c r="E207" s="42">
        <f t="shared" si="228"/>
        <v>0.07586206897</v>
      </c>
      <c r="F207" s="42">
        <f t="shared" si="228"/>
        <v>0.06933652122</v>
      </c>
      <c r="G207" s="42">
        <f t="shared" si="228"/>
        <v>0.05845511482</v>
      </c>
      <c r="H207" s="42">
        <f t="shared" si="228"/>
        <v>0.07540106952</v>
      </c>
      <c r="I207" s="42">
        <f t="shared" si="228"/>
        <v>0.07374793616</v>
      </c>
      <c r="J207" s="42">
        <f t="shared" si="228"/>
        <v>0.08078212806</v>
      </c>
      <c r="K207" s="45">
        <f t="shared" ref="K207:N207" si="229">+J207</f>
        <v>0.08078212806</v>
      </c>
      <c r="L207" s="45">
        <f t="shared" si="229"/>
        <v>0.08078212806</v>
      </c>
      <c r="M207" s="45">
        <f t="shared" si="229"/>
        <v>0.08078212806</v>
      </c>
      <c r="N207" s="45">
        <f t="shared" si="229"/>
        <v>0.08078212806</v>
      </c>
    </row>
    <row r="208" ht="15.75" customHeight="1">
      <c r="A208" s="12" t="s">
        <v>147</v>
      </c>
      <c r="B208" s="12">
        <f>Historicals!B143</f>
        <v>-1101</v>
      </c>
      <c r="C208" s="12">
        <f>Historicals!C143</f>
        <v>-1173</v>
      </c>
      <c r="D208" s="12">
        <f>Historicals!D143</f>
        <v>-724</v>
      </c>
      <c r="E208" s="12">
        <f>Historicals!E143</f>
        <v>-1456</v>
      </c>
      <c r="F208" s="12">
        <f>Historicals!F143</f>
        <v>-1810</v>
      </c>
      <c r="G208" s="12">
        <f>Historicals!G143</f>
        <v>-1967</v>
      </c>
      <c r="H208" s="12">
        <f>Historicals!H143</f>
        <v>-2261</v>
      </c>
      <c r="I208" s="12">
        <f>Historicals!I143</f>
        <v>-2219</v>
      </c>
      <c r="J208" s="12">
        <f t="shared" ref="J208:N208" si="230">I208*(1+J209)</f>
        <v>-2108.05</v>
      </c>
      <c r="K208" s="12">
        <f t="shared" si="230"/>
        <v>-1966.81065</v>
      </c>
      <c r="L208" s="12">
        <f t="shared" si="230"/>
        <v>-2010.080484</v>
      </c>
      <c r="M208" s="12">
        <f t="shared" si="230"/>
        <v>-2062.342577</v>
      </c>
      <c r="N208" s="12">
        <f t="shared" si="230"/>
        <v>-2099.464743</v>
      </c>
    </row>
    <row r="209" ht="15.75" customHeight="1">
      <c r="A209" s="41" t="s">
        <v>142</v>
      </c>
      <c r="B209" s="50" t="str">
        <f t="shared" ref="B209:I209" si="231">+IFERROR(B208/A208-1,"nm")</f>
        <v>nm</v>
      </c>
      <c r="C209" s="50">
        <f t="shared" si="231"/>
        <v>0.06539509537</v>
      </c>
      <c r="D209" s="50">
        <f t="shared" si="231"/>
        <v>-0.3827791986</v>
      </c>
      <c r="E209" s="50">
        <f t="shared" si="231"/>
        <v>1.011049724</v>
      </c>
      <c r="F209" s="50">
        <f t="shared" si="231"/>
        <v>0.2431318681</v>
      </c>
      <c r="G209" s="50">
        <f t="shared" si="231"/>
        <v>0.08674033149</v>
      </c>
      <c r="H209" s="50">
        <f t="shared" si="231"/>
        <v>0.1494661922</v>
      </c>
      <c r="I209" s="50">
        <f t="shared" si="231"/>
        <v>-0.01857585139</v>
      </c>
      <c r="J209" s="42">
        <f>-0.05</f>
        <v>-0.05</v>
      </c>
      <c r="K209" s="42">
        <v>-0.067</v>
      </c>
      <c r="L209" s="42">
        <v>0.022</v>
      </c>
      <c r="M209" s="42">
        <v>0.026</v>
      </c>
      <c r="N209" s="42">
        <v>0.018</v>
      </c>
      <c r="P209" s="2" t="s">
        <v>190</v>
      </c>
    </row>
    <row r="210" ht="15.75" customHeight="1">
      <c r="A210" s="41" t="s">
        <v>144</v>
      </c>
      <c r="B210" s="50">
        <f t="shared" ref="B210:N210" si="232">+IFERROR(B208/B$199,"nm")</f>
        <v>13.42682927</v>
      </c>
      <c r="C210" s="50">
        <f t="shared" si="232"/>
        <v>13.63953488</v>
      </c>
      <c r="D210" s="50">
        <f t="shared" si="232"/>
        <v>-9.653333333</v>
      </c>
      <c r="E210" s="50">
        <f t="shared" si="232"/>
        <v>-56</v>
      </c>
      <c r="F210" s="50">
        <f t="shared" si="232"/>
        <v>258.5714286</v>
      </c>
      <c r="G210" s="50">
        <f t="shared" si="232"/>
        <v>178.8181818</v>
      </c>
      <c r="H210" s="50">
        <f t="shared" si="232"/>
        <v>-56.525</v>
      </c>
      <c r="I210" s="50">
        <f t="shared" si="232"/>
        <v>30.81944444</v>
      </c>
      <c r="J210" s="50">
        <f t="shared" si="232"/>
        <v>-29.27847222</v>
      </c>
      <c r="K210" s="50">
        <f t="shared" si="232"/>
        <v>33.31318852</v>
      </c>
      <c r="L210" s="50">
        <f t="shared" si="232"/>
        <v>-50.81504278</v>
      </c>
      <c r="M210" s="50">
        <f t="shared" si="232"/>
        <v>94.79315253</v>
      </c>
      <c r="N210" s="50">
        <f t="shared" si="232"/>
        <v>-247.4344341</v>
      </c>
    </row>
    <row r="211" ht="15.75" customHeight="1">
      <c r="A211" s="12" t="s">
        <v>148</v>
      </c>
      <c r="B211" s="12">
        <f>Historicals!B165</f>
        <v>104</v>
      </c>
      <c r="C211" s="12">
        <f>Historicals!C165</f>
        <v>264</v>
      </c>
      <c r="D211" s="12">
        <f>Historicals!D165</f>
        <v>291</v>
      </c>
      <c r="E211" s="12">
        <f>Historicals!E165</f>
        <v>159</v>
      </c>
      <c r="F211" s="12">
        <f>Historicals!F165</f>
        <v>377</v>
      </c>
      <c r="G211" s="12">
        <f>Historicals!G165</f>
        <v>318</v>
      </c>
      <c r="H211" s="12">
        <f>Historicals!H165</f>
        <v>11</v>
      </c>
      <c r="I211" s="12">
        <f>Historicals!I165</f>
        <v>50</v>
      </c>
      <c r="J211" s="12">
        <f t="shared" ref="J211:N211" si="233">I211*(1+J212)</f>
        <v>160</v>
      </c>
      <c r="K211" s="12">
        <f t="shared" si="233"/>
        <v>179.2</v>
      </c>
      <c r="L211" s="12">
        <f t="shared" si="233"/>
        <v>191.744</v>
      </c>
      <c r="M211" s="12">
        <f t="shared" si="233"/>
        <v>198.263296</v>
      </c>
      <c r="N211" s="12">
        <f t="shared" si="233"/>
        <v>209.3660406</v>
      </c>
    </row>
    <row r="212" ht="15.75" customHeight="1">
      <c r="A212" s="41" t="s">
        <v>142</v>
      </c>
      <c r="B212" s="42" t="str">
        <f t="shared" ref="B212:I212" si="234">+IFERROR(B211/A211-1,"nm")</f>
        <v>nm</v>
      </c>
      <c r="C212" s="42">
        <f t="shared" si="234"/>
        <v>1.538461538</v>
      </c>
      <c r="D212" s="42">
        <f t="shared" si="234"/>
        <v>0.1022727273</v>
      </c>
      <c r="E212" s="42">
        <f t="shared" si="234"/>
        <v>-0.4536082474</v>
      </c>
      <c r="F212" s="42">
        <f t="shared" si="234"/>
        <v>1.371069182</v>
      </c>
      <c r="G212" s="42">
        <f t="shared" si="234"/>
        <v>-0.1564986737</v>
      </c>
      <c r="H212" s="42">
        <f t="shared" si="234"/>
        <v>-0.965408805</v>
      </c>
      <c r="I212" s="42">
        <f t="shared" si="234"/>
        <v>3.545454545</v>
      </c>
      <c r="J212" s="42">
        <f>2.2</f>
        <v>2.2</v>
      </c>
      <c r="K212" s="42">
        <v>0.12</v>
      </c>
      <c r="L212" s="42">
        <v>0.07</v>
      </c>
      <c r="M212" s="42">
        <v>0.034</v>
      </c>
      <c r="N212" s="42">
        <v>0.056</v>
      </c>
      <c r="P212" s="2" t="s">
        <v>191</v>
      </c>
    </row>
    <row r="213" ht="15.75" customHeight="1">
      <c r="A213" s="41" t="s">
        <v>146</v>
      </c>
      <c r="B213" s="42">
        <f t="shared" ref="B213:J213" si="235">+IFERROR(B211/B$199,"nm")</f>
        <v>-1.268292683</v>
      </c>
      <c r="C213" s="42">
        <f t="shared" si="235"/>
        <v>-3.069767442</v>
      </c>
      <c r="D213" s="42">
        <f t="shared" si="235"/>
        <v>3.88</v>
      </c>
      <c r="E213" s="42">
        <f t="shared" si="235"/>
        <v>6.115384615</v>
      </c>
      <c r="F213" s="42">
        <f t="shared" si="235"/>
        <v>-53.85714286</v>
      </c>
      <c r="G213" s="42">
        <f t="shared" si="235"/>
        <v>-28.90909091</v>
      </c>
      <c r="H213" s="42">
        <f t="shared" si="235"/>
        <v>0.275</v>
      </c>
      <c r="I213" s="42">
        <f t="shared" si="235"/>
        <v>-0.6944444444</v>
      </c>
      <c r="J213" s="42">
        <f t="shared" si="235"/>
        <v>2.222222222</v>
      </c>
      <c r="K213" s="45">
        <f t="shared" ref="K213:N213" si="236">+J213</f>
        <v>2.222222222</v>
      </c>
      <c r="L213" s="45">
        <f t="shared" si="236"/>
        <v>2.222222222</v>
      </c>
      <c r="M213" s="45">
        <f t="shared" si="236"/>
        <v>2.222222222</v>
      </c>
      <c r="N213" s="45">
        <f t="shared" si="236"/>
        <v>2.222222222</v>
      </c>
    </row>
    <row r="214" ht="15.75" customHeight="1">
      <c r="A214" s="12" t="s">
        <v>149</v>
      </c>
      <c r="B214" s="12">
        <f>Historicals!B154</f>
        <v>713</v>
      </c>
      <c r="C214" s="12">
        <f>Historicals!C154</f>
        <v>937</v>
      </c>
      <c r="D214" s="12">
        <f>Historicals!D154</f>
        <v>1238</v>
      </c>
      <c r="E214" s="12">
        <f>Historicals!E154</f>
        <v>1450</v>
      </c>
      <c r="F214" s="12">
        <f>Historicals!F154</f>
        <v>1673</v>
      </c>
      <c r="G214" s="12">
        <f>Historicals!G154</f>
        <v>1916</v>
      </c>
      <c r="H214" s="12">
        <f>Historicals!H154</f>
        <v>1870</v>
      </c>
      <c r="I214" s="12">
        <f>Historicals!I154</f>
        <v>1817</v>
      </c>
      <c r="J214" s="12">
        <f t="shared" ref="J214:N214" si="237">I214*(1+J215)</f>
        <v>1741.72188</v>
      </c>
      <c r="K214" s="12">
        <f t="shared" si="237"/>
        <v>1640.702011</v>
      </c>
      <c r="L214" s="12">
        <f t="shared" si="237"/>
        <v>1566.870421</v>
      </c>
      <c r="M214" s="12">
        <f t="shared" si="237"/>
        <v>1499.494993</v>
      </c>
      <c r="N214" s="12">
        <f t="shared" si="237"/>
        <v>1456.009638</v>
      </c>
    </row>
    <row r="215" ht="15.75" customHeight="1">
      <c r="A215" s="41" t="s">
        <v>142</v>
      </c>
      <c r="B215" s="42" t="str">
        <f t="shared" ref="B215:I215" si="238">+IFERROR(B214/A214-1,"nm")</f>
        <v>nm</v>
      </c>
      <c r="C215" s="42">
        <f t="shared" si="238"/>
        <v>0.3141654979</v>
      </c>
      <c r="D215" s="42">
        <f t="shared" si="238"/>
        <v>0.3212379936</v>
      </c>
      <c r="E215" s="42">
        <f t="shared" si="238"/>
        <v>0.1712439418</v>
      </c>
      <c r="F215" s="42">
        <f t="shared" si="238"/>
        <v>0.1537931034</v>
      </c>
      <c r="G215" s="42">
        <f t="shared" si="238"/>
        <v>0.1452480574</v>
      </c>
      <c r="H215" s="42">
        <f t="shared" si="238"/>
        <v>-0.02400835073</v>
      </c>
      <c r="I215" s="42">
        <f t="shared" si="238"/>
        <v>-0.02834224599</v>
      </c>
      <c r="J215" s="42">
        <f>I215+0.5*AVERAGE(H215, I215)</f>
        <v>-0.04142989517</v>
      </c>
      <c r="K215" s="42">
        <v>-0.058</v>
      </c>
      <c r="L215" s="42">
        <v>-0.045</v>
      </c>
      <c r="M215" s="42">
        <v>-0.043</v>
      </c>
      <c r="N215" s="42">
        <v>-0.029</v>
      </c>
      <c r="P215" s="2" t="s">
        <v>192</v>
      </c>
    </row>
    <row r="216" ht="15.75" customHeight="1">
      <c r="A216" s="41" t="s">
        <v>146</v>
      </c>
      <c r="B216" s="42">
        <f t="shared" ref="B216:N216" si="239">+IFERROR(B214/B$199,"nm")</f>
        <v>-8.695121951</v>
      </c>
      <c r="C216" s="42">
        <f t="shared" si="239"/>
        <v>-10.89534884</v>
      </c>
      <c r="D216" s="42">
        <f t="shared" si="239"/>
        <v>16.50666667</v>
      </c>
      <c r="E216" s="42">
        <f t="shared" si="239"/>
        <v>55.76923077</v>
      </c>
      <c r="F216" s="42">
        <f t="shared" si="239"/>
        <v>-239</v>
      </c>
      <c r="G216" s="42">
        <f t="shared" si="239"/>
        <v>-174.1818182</v>
      </c>
      <c r="H216" s="42">
        <f t="shared" si="239"/>
        <v>46.75</v>
      </c>
      <c r="I216" s="42">
        <f t="shared" si="239"/>
        <v>-25.23611111</v>
      </c>
      <c r="J216" s="42">
        <f t="shared" si="239"/>
        <v>24.19058167</v>
      </c>
      <c r="K216" s="42">
        <f t="shared" si="239"/>
        <v>-27.78966821</v>
      </c>
      <c r="L216" s="42">
        <f t="shared" si="239"/>
        <v>39.61064649</v>
      </c>
      <c r="M216" s="42">
        <f t="shared" si="239"/>
        <v>-68.92252488</v>
      </c>
      <c r="N216" s="42">
        <f t="shared" si="239"/>
        <v>171.5994145</v>
      </c>
    </row>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15" width="39.86"/>
    <col customWidth="1" min="16" max="16" width="17.43"/>
    <col customWidth="1" min="17" max="26" width="8.86"/>
  </cols>
  <sheetData>
    <row r="1" ht="60.0" customHeight="1">
      <c r="A1" s="7" t="s">
        <v>193</v>
      </c>
      <c r="B1" s="8">
        <f t="shared" ref="B1:H1" si="1">+C1-1</f>
        <v>2015</v>
      </c>
      <c r="C1" s="8">
        <f t="shared" si="1"/>
        <v>2016</v>
      </c>
      <c r="D1" s="8">
        <f t="shared" si="1"/>
        <v>2017</v>
      </c>
      <c r="E1" s="8">
        <f t="shared" si="1"/>
        <v>2018</v>
      </c>
      <c r="F1" s="8">
        <f t="shared" si="1"/>
        <v>2019</v>
      </c>
      <c r="G1" s="8">
        <f t="shared" si="1"/>
        <v>2020</v>
      </c>
      <c r="H1" s="8">
        <f t="shared" si="1"/>
        <v>2021</v>
      </c>
      <c r="I1" s="8">
        <v>2022.0</v>
      </c>
      <c r="J1" s="39">
        <f t="shared" ref="J1:N1" si="2">+I1+1</f>
        <v>2023</v>
      </c>
      <c r="K1" s="39">
        <f t="shared" si="2"/>
        <v>2024</v>
      </c>
      <c r="L1" s="39">
        <f t="shared" si="2"/>
        <v>2025</v>
      </c>
      <c r="M1" s="39">
        <f t="shared" si="2"/>
        <v>2026</v>
      </c>
      <c r="N1" s="39">
        <f t="shared" si="2"/>
        <v>2027</v>
      </c>
    </row>
    <row r="2">
      <c r="A2" s="40" t="s">
        <v>194</v>
      </c>
      <c r="B2" s="40"/>
      <c r="C2" s="40"/>
      <c r="D2" s="40"/>
      <c r="E2" s="40"/>
      <c r="F2" s="40"/>
      <c r="G2" s="40"/>
      <c r="H2" s="40"/>
      <c r="I2" s="40"/>
      <c r="J2" s="39"/>
      <c r="K2" s="39"/>
      <c r="L2" s="39"/>
      <c r="M2" s="39"/>
      <c r="N2" s="39"/>
    </row>
    <row r="3">
      <c r="A3" s="3" t="s">
        <v>150</v>
      </c>
      <c r="B3" s="12">
        <f>'Segmental forecast'!B3</f>
        <v>30601</v>
      </c>
      <c r="C3" s="12">
        <f>'Segmental forecast'!C3</f>
        <v>32376</v>
      </c>
      <c r="D3" s="12">
        <f>'Segmental forecast'!D3</f>
        <v>34350</v>
      </c>
      <c r="E3" s="12">
        <f>'Segmental forecast'!E3</f>
        <v>36397</v>
      </c>
      <c r="F3" s="12">
        <f>'Segmental forecast'!F3</f>
        <v>39117</v>
      </c>
      <c r="G3" s="12">
        <f>'Segmental forecast'!G3</f>
        <v>37403</v>
      </c>
      <c r="H3" s="12">
        <f>'Segmental forecast'!H3</f>
        <v>44538</v>
      </c>
      <c r="I3" s="12">
        <f>'Segmental forecast'!I3</f>
        <v>46710</v>
      </c>
      <c r="J3" s="12">
        <f>'Segmental forecast'!J3</f>
        <v>50251.93581</v>
      </c>
      <c r="K3" s="12">
        <f t="shared" ref="K3:N3" si="3">J3*(1+K4)</f>
        <v>50251.93581</v>
      </c>
      <c r="L3" s="12">
        <f t="shared" si="3"/>
        <v>50251.93581</v>
      </c>
      <c r="M3" s="12">
        <f t="shared" si="3"/>
        <v>50251.93581</v>
      </c>
      <c r="N3" s="12">
        <f t="shared" si="3"/>
        <v>50251.93581</v>
      </c>
    </row>
    <row r="4">
      <c r="A4" s="41" t="s">
        <v>142</v>
      </c>
      <c r="B4" s="51" t="str">
        <f>'Segmental forecast'!B4</f>
        <v>nm</v>
      </c>
      <c r="C4" s="51">
        <f>'Segmental forecast'!C4</f>
        <v>0.05800464037</v>
      </c>
      <c r="D4" s="51">
        <f>'Segmental forecast'!D4</f>
        <v>0.0609710897</v>
      </c>
      <c r="E4" s="51">
        <f>'Segmental forecast'!E4</f>
        <v>0.05959243086</v>
      </c>
      <c r="F4" s="51">
        <f>'Segmental forecast'!F4</f>
        <v>0.07473143391</v>
      </c>
      <c r="G4" s="51">
        <f>'Segmental forecast'!G4</f>
        <v>-0.04381726615</v>
      </c>
      <c r="H4" s="51">
        <f>'Segmental forecast'!H4</f>
        <v>0.1907600995</v>
      </c>
      <c r="I4" s="51">
        <f>'Segmental forecast'!I4</f>
        <v>0.04876734474</v>
      </c>
      <c r="J4" s="51">
        <f>(J3-I3)/I3</f>
        <v>0.07582821258</v>
      </c>
      <c r="K4" s="51">
        <v>0.0</v>
      </c>
      <c r="L4" s="51">
        <v>0.0</v>
      </c>
      <c r="M4" s="51">
        <v>0.0</v>
      </c>
      <c r="N4" s="51">
        <v>0.0</v>
      </c>
      <c r="O4" s="2" t="s">
        <v>195</v>
      </c>
    </row>
    <row r="5">
      <c r="A5" s="3" t="s">
        <v>196</v>
      </c>
      <c r="B5" s="12">
        <f>'Segmental forecast'!B5</f>
        <v>4839</v>
      </c>
      <c r="C5" s="12">
        <f>'Segmental forecast'!C5</f>
        <v>5291</v>
      </c>
      <c r="D5" s="12">
        <f>'Segmental forecast'!D5</f>
        <v>5651</v>
      </c>
      <c r="E5" s="12">
        <f>'Segmental forecast'!E5</f>
        <v>5126</v>
      </c>
      <c r="F5" s="12">
        <f>'Segmental forecast'!F5</f>
        <v>5555</v>
      </c>
      <c r="G5" s="12">
        <f>'Segmental forecast'!G5</f>
        <v>3697</v>
      </c>
      <c r="H5" s="12">
        <f>'Segmental forecast'!H5</f>
        <v>7667</v>
      </c>
      <c r="I5" s="12">
        <f>'Segmental forecast'!I5</f>
        <v>7573</v>
      </c>
      <c r="J5" s="12">
        <f>'Segmental forecast'!J5</f>
        <v>12077.91018</v>
      </c>
      <c r="K5" s="12">
        <f>'Segmental forecast'!K5</f>
        <v>8173.16149</v>
      </c>
      <c r="L5" s="12">
        <f>'Segmental forecast'!L5</f>
        <v>12230.34356</v>
      </c>
      <c r="M5" s="12">
        <f>'Segmental forecast'!M5</f>
        <v>11239.31836</v>
      </c>
      <c r="N5" s="12">
        <f>'Segmental forecast'!N5</f>
        <v>11738.54324</v>
      </c>
    </row>
    <row r="6">
      <c r="A6" s="44" t="s">
        <v>145</v>
      </c>
      <c r="B6" s="9">
        <f>'Segmental forecast'!B8</f>
        <v>606</v>
      </c>
      <c r="C6" s="9">
        <f>'Segmental forecast'!C8</f>
        <v>649</v>
      </c>
      <c r="D6" s="9">
        <f>'Segmental forecast'!D8</f>
        <v>706</v>
      </c>
      <c r="E6" s="9">
        <f>'Segmental forecast'!E8</f>
        <v>747</v>
      </c>
      <c r="F6" s="9">
        <f>'Segmental forecast'!F8</f>
        <v>705</v>
      </c>
      <c r="G6" s="9">
        <f>'Segmental forecast'!G8</f>
        <v>721</v>
      </c>
      <c r="H6" s="9">
        <f>'Segmental forecast'!H8</f>
        <v>744</v>
      </c>
      <c r="I6" s="9">
        <f>'Segmental forecast'!I8</f>
        <v>717</v>
      </c>
      <c r="J6" s="9">
        <f>'Segmental forecast'!J8</f>
        <v>720.15</v>
      </c>
      <c r="K6" s="9">
        <f>'Segmental forecast'!K8</f>
        <v>730.28464</v>
      </c>
      <c r="L6" s="9">
        <f>'Segmental forecast'!L8</f>
        <v>739.3872477</v>
      </c>
      <c r="M6" s="9">
        <f>'Segmental forecast'!M8</f>
        <v>763.1416746</v>
      </c>
      <c r="N6" s="9">
        <f>'Segmental forecast'!N8</f>
        <v>791.6444253</v>
      </c>
    </row>
    <row r="7">
      <c r="A7" s="16" t="s">
        <v>147</v>
      </c>
      <c r="B7" s="17">
        <f>'Segmental forecast'!B11</f>
        <v>4233</v>
      </c>
      <c r="C7" s="17">
        <f>'Segmental forecast'!C11</f>
        <v>4642</v>
      </c>
      <c r="D7" s="17">
        <f>'Segmental forecast'!D11</f>
        <v>4945</v>
      </c>
      <c r="E7" s="17">
        <f>'Segmental forecast'!E11</f>
        <v>4379</v>
      </c>
      <c r="F7" s="17">
        <f>'Segmental forecast'!F11</f>
        <v>4850</v>
      </c>
      <c r="G7" s="17">
        <f>'Segmental forecast'!G11</f>
        <v>2976</v>
      </c>
      <c r="H7" s="17">
        <f>'Segmental forecast'!H11</f>
        <v>6923</v>
      </c>
      <c r="I7" s="17">
        <f>'Segmental forecast'!I11</f>
        <v>6856</v>
      </c>
      <c r="J7" s="17">
        <f>'Segmental forecast'!J11</f>
        <v>7460.673074</v>
      </c>
      <c r="K7" s="17">
        <f t="shared" ref="K7:N7" si="4">K5-K6</f>
        <v>7442.87685</v>
      </c>
      <c r="L7" s="17">
        <f t="shared" si="4"/>
        <v>11490.95631</v>
      </c>
      <c r="M7" s="17">
        <f t="shared" si="4"/>
        <v>10476.17669</v>
      </c>
      <c r="N7" s="17">
        <f t="shared" si="4"/>
        <v>10946.89881</v>
      </c>
    </row>
    <row r="8">
      <c r="A8" s="41" t="s">
        <v>142</v>
      </c>
      <c r="B8" s="51" t="str">
        <f>'Segmental forecast'!B12</f>
        <v>nm</v>
      </c>
      <c r="C8" s="51">
        <f>'Segmental forecast'!C12</f>
        <v>0.09662178124</v>
      </c>
      <c r="D8" s="51">
        <f>'Segmental forecast'!D12</f>
        <v>0.06527358897</v>
      </c>
      <c r="E8" s="51">
        <f>'Segmental forecast'!E12</f>
        <v>-0.1144590495</v>
      </c>
      <c r="F8" s="51">
        <f>'Segmental forecast'!F12</f>
        <v>0.1075588034</v>
      </c>
      <c r="G8" s="51">
        <f>'Segmental forecast'!G12</f>
        <v>-0.3863917526</v>
      </c>
      <c r="H8" s="51">
        <f>'Segmental forecast'!H12</f>
        <v>1.326276882</v>
      </c>
      <c r="I8" s="51">
        <f>'Segmental forecast'!I12</f>
        <v>-0.00967788531</v>
      </c>
      <c r="J8" s="51">
        <f t="shared" ref="J8:N8" si="5">+IFERROR(J7/I7-1,"nm")</f>
        <v>0.08819618929</v>
      </c>
      <c r="K8" s="51">
        <f t="shared" si="5"/>
        <v>-0.002385337589</v>
      </c>
      <c r="L8" s="51">
        <f t="shared" si="5"/>
        <v>0.5438863951</v>
      </c>
      <c r="M8" s="51">
        <f t="shared" si="5"/>
        <v>-0.08831115478</v>
      </c>
      <c r="N8" s="51">
        <f t="shared" si="5"/>
        <v>0.04493262542</v>
      </c>
    </row>
    <row r="9">
      <c r="A9" s="41" t="s">
        <v>144</v>
      </c>
      <c r="B9" s="51">
        <f>'Segmental forecast'!B13</f>
        <v>0.1383288128</v>
      </c>
      <c r="C9" s="51">
        <f>'Segmental forecast'!C13</f>
        <v>0.1433778107</v>
      </c>
      <c r="D9" s="51">
        <f>'Segmental forecast'!D13</f>
        <v>0.1439592431</v>
      </c>
      <c r="E9" s="51">
        <f>'Segmental forecast'!E13</f>
        <v>0.1203121136</v>
      </c>
      <c r="F9" s="51">
        <f>'Segmental forecast'!F13</f>
        <v>0.1239870133</v>
      </c>
      <c r="G9" s="51">
        <f>'Segmental forecast'!G13</f>
        <v>0.07956581023</v>
      </c>
      <c r="H9" s="51">
        <f>'Segmental forecast'!H13</f>
        <v>0.1554402982</v>
      </c>
      <c r="I9" s="51">
        <f>'Segmental forecast'!I13</f>
        <v>0.1467779919</v>
      </c>
      <c r="J9" s="51">
        <f t="shared" ref="J9:N9" si="6">+I9</f>
        <v>0.1467779919</v>
      </c>
      <c r="K9" s="51">
        <f t="shared" si="6"/>
        <v>0.1467779919</v>
      </c>
      <c r="L9" s="51">
        <f t="shared" si="6"/>
        <v>0.1467779919</v>
      </c>
      <c r="M9" s="51">
        <f t="shared" si="6"/>
        <v>0.1467779919</v>
      </c>
      <c r="N9" s="51">
        <f t="shared" si="6"/>
        <v>0.1467779919</v>
      </c>
    </row>
    <row r="10">
      <c r="A10" s="4" t="s">
        <v>16</v>
      </c>
      <c r="B10" s="9">
        <f>Historicals!B8</f>
        <v>28</v>
      </c>
      <c r="C10" s="9">
        <f>Historicals!C8</f>
        <v>19</v>
      </c>
      <c r="D10" s="9">
        <f>Historicals!D8</f>
        <v>59</v>
      </c>
      <c r="E10" s="9">
        <f>Historicals!E8</f>
        <v>54</v>
      </c>
      <c r="F10" s="9">
        <f>Historicals!F8</f>
        <v>49</v>
      </c>
      <c r="G10" s="9">
        <f>Historicals!G8</f>
        <v>89</v>
      </c>
      <c r="H10" s="9">
        <f>Historicals!H8</f>
        <v>262</v>
      </c>
      <c r="I10" s="9">
        <f>Historicals!I8</f>
        <v>205</v>
      </c>
      <c r="J10" s="9">
        <v>205.0</v>
      </c>
      <c r="K10" s="9">
        <v>205.0</v>
      </c>
      <c r="L10" s="9">
        <v>205.0</v>
      </c>
      <c r="M10" s="9">
        <v>205.0</v>
      </c>
      <c r="N10" s="9">
        <v>205.0</v>
      </c>
    </row>
    <row r="11">
      <c r="A11" s="16" t="s">
        <v>197</v>
      </c>
      <c r="B11" s="17">
        <f t="shared" ref="B11:N11" si="7">B7-B10</f>
        <v>4205</v>
      </c>
      <c r="C11" s="17">
        <f t="shared" si="7"/>
        <v>4623</v>
      </c>
      <c r="D11" s="17">
        <f t="shared" si="7"/>
        <v>4886</v>
      </c>
      <c r="E11" s="17">
        <f t="shared" si="7"/>
        <v>4325</v>
      </c>
      <c r="F11" s="17">
        <f t="shared" si="7"/>
        <v>4801</v>
      </c>
      <c r="G11" s="17">
        <f t="shared" si="7"/>
        <v>2887</v>
      </c>
      <c r="H11" s="17">
        <f t="shared" si="7"/>
        <v>6661</v>
      </c>
      <c r="I11" s="17">
        <f t="shared" si="7"/>
        <v>6651</v>
      </c>
      <c r="J11" s="17">
        <f t="shared" si="7"/>
        <v>7255.673074</v>
      </c>
      <c r="K11" s="17">
        <f t="shared" si="7"/>
        <v>7237.87685</v>
      </c>
      <c r="L11" s="17">
        <f t="shared" si="7"/>
        <v>11285.95631</v>
      </c>
      <c r="M11" s="17">
        <f t="shared" si="7"/>
        <v>10271.17669</v>
      </c>
      <c r="N11" s="17">
        <f t="shared" si="7"/>
        <v>10741.89881</v>
      </c>
    </row>
    <row r="12">
      <c r="A12" s="2" t="s">
        <v>19</v>
      </c>
      <c r="B12" s="9">
        <f>Historicals!B11</f>
        <v>932</v>
      </c>
      <c r="C12" s="9">
        <f>Historicals!C11</f>
        <v>863</v>
      </c>
      <c r="D12" s="9">
        <f>Historicals!D11</f>
        <v>646</v>
      </c>
      <c r="E12" s="9">
        <f>Historicals!E11</f>
        <v>2392</v>
      </c>
      <c r="F12" s="9">
        <f>Historicals!F11</f>
        <v>772</v>
      </c>
      <c r="G12" s="9">
        <f>Historicals!G11</f>
        <v>348</v>
      </c>
      <c r="H12" s="9">
        <f>Historicals!H11</f>
        <v>934</v>
      </c>
      <c r="I12" s="9">
        <f>Historicals!I11</f>
        <v>605</v>
      </c>
      <c r="J12" s="9">
        <f t="shared" ref="J12:N12" si="8">I12*(1+J13)</f>
        <v>660.055</v>
      </c>
      <c r="K12" s="9">
        <f t="shared" si="8"/>
        <v>720.120005</v>
      </c>
      <c r="L12" s="9">
        <f t="shared" si="8"/>
        <v>785.6509255</v>
      </c>
      <c r="M12" s="9">
        <f t="shared" si="8"/>
        <v>857.1451597</v>
      </c>
      <c r="N12" s="9">
        <f t="shared" si="8"/>
        <v>935.1453692</v>
      </c>
    </row>
    <row r="13">
      <c r="A13" s="41" t="s">
        <v>198</v>
      </c>
      <c r="B13" s="51">
        <f t="shared" ref="B13:I13" si="9">B12/B11</f>
        <v>0.2216409037</v>
      </c>
      <c r="C13" s="51">
        <f t="shared" si="9"/>
        <v>0.1866753191</v>
      </c>
      <c r="D13" s="51">
        <f t="shared" si="9"/>
        <v>0.1322144904</v>
      </c>
      <c r="E13" s="51">
        <f t="shared" si="9"/>
        <v>0.5530635838</v>
      </c>
      <c r="F13" s="51">
        <f t="shared" si="9"/>
        <v>0.1607998334</v>
      </c>
      <c r="G13" s="51">
        <f t="shared" si="9"/>
        <v>0.1205403533</v>
      </c>
      <c r="H13" s="51">
        <f t="shared" si="9"/>
        <v>0.1402191863</v>
      </c>
      <c r="I13" s="51">
        <f t="shared" si="9"/>
        <v>0.09096376485</v>
      </c>
      <c r="J13" s="52">
        <v>0.091</v>
      </c>
      <c r="K13" s="52">
        <v>0.091</v>
      </c>
      <c r="L13" s="52">
        <v>0.091</v>
      </c>
      <c r="M13" s="52">
        <v>0.091</v>
      </c>
      <c r="N13" s="52">
        <v>0.091</v>
      </c>
    </row>
    <row r="14">
      <c r="A14" s="18" t="s">
        <v>199</v>
      </c>
      <c r="B14" s="19">
        <f t="shared" ref="B14:N14" si="10">B11-B12</f>
        <v>3273</v>
      </c>
      <c r="C14" s="19">
        <f t="shared" si="10"/>
        <v>3760</v>
      </c>
      <c r="D14" s="19">
        <f t="shared" si="10"/>
        <v>4240</v>
      </c>
      <c r="E14" s="19">
        <f t="shared" si="10"/>
        <v>1933</v>
      </c>
      <c r="F14" s="19">
        <f t="shared" si="10"/>
        <v>4029</v>
      </c>
      <c r="G14" s="19">
        <f t="shared" si="10"/>
        <v>2539</v>
      </c>
      <c r="H14" s="19">
        <f t="shared" si="10"/>
        <v>5727</v>
      </c>
      <c r="I14" s="19">
        <f t="shared" si="10"/>
        <v>6046</v>
      </c>
      <c r="J14" s="19">
        <f t="shared" si="10"/>
        <v>6595.618074</v>
      </c>
      <c r="K14" s="19">
        <f t="shared" si="10"/>
        <v>6517.756845</v>
      </c>
      <c r="L14" s="19">
        <f t="shared" si="10"/>
        <v>10500.30538</v>
      </c>
      <c r="M14" s="19">
        <f t="shared" si="10"/>
        <v>9414.031528</v>
      </c>
      <c r="N14" s="19">
        <f t="shared" si="10"/>
        <v>9806.753441</v>
      </c>
    </row>
    <row r="15">
      <c r="A15" s="2" t="s">
        <v>200</v>
      </c>
      <c r="B15" s="9">
        <f>Historicals!B18</f>
        <v>1768.8</v>
      </c>
      <c r="C15" s="9">
        <f>Historicals!C18</f>
        <v>1742.5</v>
      </c>
      <c r="D15" s="9">
        <f>Historicals!D18</f>
        <v>1692</v>
      </c>
      <c r="E15" s="9">
        <f>Historicals!E18</f>
        <v>1659.1</v>
      </c>
      <c r="F15" s="9">
        <f>Historicals!F18</f>
        <v>1618.4</v>
      </c>
      <c r="G15" s="9">
        <f>Historicals!G18</f>
        <v>1591.6</v>
      </c>
      <c r="H15" s="9">
        <f>Historicals!H18</f>
        <v>1609.4</v>
      </c>
      <c r="I15" s="9">
        <f>Historicals!I18</f>
        <v>1610.8</v>
      </c>
      <c r="J15" s="9">
        <v>1610.8</v>
      </c>
      <c r="K15" s="9">
        <v>1610.8</v>
      </c>
      <c r="L15" s="9">
        <v>1610.8</v>
      </c>
      <c r="M15" s="9">
        <v>1610.8</v>
      </c>
      <c r="N15" s="9">
        <v>1610.8</v>
      </c>
    </row>
    <row r="16">
      <c r="A16" s="2" t="s">
        <v>201</v>
      </c>
      <c r="B16" s="53">
        <f t="shared" ref="B16:N16" si="11">B14/B15</f>
        <v>1.850407056</v>
      </c>
      <c r="C16" s="53">
        <f t="shared" si="11"/>
        <v>2.157819225</v>
      </c>
      <c r="D16" s="53">
        <f t="shared" si="11"/>
        <v>2.505910165</v>
      </c>
      <c r="E16" s="53">
        <f t="shared" si="11"/>
        <v>1.165089506</v>
      </c>
      <c r="F16" s="53">
        <f t="shared" si="11"/>
        <v>2.489495798</v>
      </c>
      <c r="G16" s="53">
        <f t="shared" si="11"/>
        <v>1.595250063</v>
      </c>
      <c r="H16" s="53">
        <f t="shared" si="11"/>
        <v>3.558468995</v>
      </c>
      <c r="I16" s="53">
        <f t="shared" si="11"/>
        <v>3.753414452</v>
      </c>
      <c r="J16" s="53">
        <f t="shared" si="11"/>
        <v>4.094622594</v>
      </c>
      <c r="K16" s="53">
        <f t="shared" si="11"/>
        <v>4.0462856</v>
      </c>
      <c r="L16" s="53">
        <f t="shared" si="11"/>
        <v>6.518689709</v>
      </c>
      <c r="M16" s="53">
        <f t="shared" si="11"/>
        <v>5.844320541</v>
      </c>
      <c r="N16" s="53">
        <f t="shared" si="11"/>
        <v>6.08812605</v>
      </c>
    </row>
    <row r="17">
      <c r="A17" s="2" t="s">
        <v>202</v>
      </c>
      <c r="B17" s="53">
        <f>Historicals!B15</f>
        <v>1.85</v>
      </c>
      <c r="C17" s="53">
        <f>Historicals!C15</f>
        <v>2.16</v>
      </c>
      <c r="D17" s="53">
        <f>Historicals!D15</f>
        <v>2.51</v>
      </c>
      <c r="E17" s="53">
        <f>Historicals!E15</f>
        <v>1.17</v>
      </c>
      <c r="F17" s="53">
        <f>Historicals!F15</f>
        <v>2.49</v>
      </c>
      <c r="G17" s="53">
        <f>Historicals!G15</f>
        <v>1.6</v>
      </c>
      <c r="H17" s="53">
        <f>Historicals!H15</f>
        <v>3.56</v>
      </c>
      <c r="I17" s="53">
        <f>Historicals!I15</f>
        <v>3.75</v>
      </c>
      <c r="J17" s="53">
        <f t="shared" ref="J17:N17" si="12">I17*(1+J18)</f>
        <v>3.75</v>
      </c>
      <c r="K17" s="53">
        <f t="shared" si="12"/>
        <v>3.75</v>
      </c>
      <c r="L17" s="53">
        <f t="shared" si="12"/>
        <v>3.75</v>
      </c>
      <c r="M17" s="53">
        <f t="shared" si="12"/>
        <v>3.75</v>
      </c>
      <c r="N17" s="53">
        <f t="shared" si="12"/>
        <v>3.75</v>
      </c>
    </row>
    <row r="18">
      <c r="A18" s="41" t="s">
        <v>142</v>
      </c>
      <c r="B18" s="51" t="str">
        <f t="shared" ref="B18:I18" si="13">+IFERROR(B17/A17-1,"nm")</f>
        <v>nm</v>
      </c>
      <c r="C18" s="51">
        <f t="shared" si="13"/>
        <v>0.1675675676</v>
      </c>
      <c r="D18" s="51">
        <f t="shared" si="13"/>
        <v>0.162037037</v>
      </c>
      <c r="E18" s="51">
        <f t="shared" si="13"/>
        <v>-0.5338645418</v>
      </c>
      <c r="F18" s="51">
        <f t="shared" si="13"/>
        <v>1.128205128</v>
      </c>
      <c r="G18" s="51">
        <f t="shared" si="13"/>
        <v>-0.3574297189</v>
      </c>
      <c r="H18" s="51">
        <f t="shared" si="13"/>
        <v>1.225</v>
      </c>
      <c r="I18" s="51">
        <f t="shared" si="13"/>
        <v>0.05337078652</v>
      </c>
      <c r="J18" s="51">
        <v>0.0</v>
      </c>
      <c r="K18" s="51">
        <v>0.0</v>
      </c>
      <c r="L18" s="51">
        <v>0.0</v>
      </c>
      <c r="M18" s="51">
        <v>0.0</v>
      </c>
      <c r="N18" s="51">
        <v>0.0</v>
      </c>
    </row>
    <row r="19">
      <c r="A19" s="41" t="s">
        <v>203</v>
      </c>
      <c r="B19" s="51">
        <f t="shared" ref="B19:N19" si="14">B17/B16</f>
        <v>0.9997800183</v>
      </c>
      <c r="C19" s="51">
        <f t="shared" si="14"/>
        <v>1.001010638</v>
      </c>
      <c r="D19" s="51">
        <f t="shared" si="14"/>
        <v>1.001632075</v>
      </c>
      <c r="E19" s="51">
        <f t="shared" si="14"/>
        <v>1.004214692</v>
      </c>
      <c r="F19" s="51">
        <f t="shared" si="14"/>
        <v>1.000202532</v>
      </c>
      <c r="G19" s="51">
        <f t="shared" si="14"/>
        <v>1.00297755</v>
      </c>
      <c r="H19" s="51">
        <f t="shared" si="14"/>
        <v>1.000430243</v>
      </c>
      <c r="I19" s="51">
        <f t="shared" si="14"/>
        <v>0.9990903076</v>
      </c>
      <c r="J19" s="51">
        <f t="shared" si="14"/>
        <v>0.9158353216</v>
      </c>
      <c r="K19" s="51">
        <f t="shared" si="14"/>
        <v>0.9267759052</v>
      </c>
      <c r="L19" s="51">
        <f t="shared" si="14"/>
        <v>0.5752689831</v>
      </c>
      <c r="M19" s="51">
        <f t="shared" si="14"/>
        <v>0.6416485841</v>
      </c>
      <c r="N19" s="51">
        <f t="shared" si="14"/>
        <v>0.6159530813</v>
      </c>
    </row>
    <row r="20">
      <c r="A20" s="54" t="s">
        <v>204</v>
      </c>
      <c r="B20" s="40"/>
      <c r="C20" s="40"/>
      <c r="D20" s="40"/>
      <c r="E20" s="40"/>
      <c r="F20" s="40"/>
      <c r="G20" s="40"/>
      <c r="H20" s="40"/>
      <c r="I20" s="40"/>
      <c r="J20" s="39"/>
      <c r="K20" s="39"/>
      <c r="L20" s="39"/>
      <c r="M20" s="39"/>
      <c r="N20" s="39"/>
    </row>
    <row r="21" ht="15.75" customHeight="1">
      <c r="A21" s="2" t="s">
        <v>205</v>
      </c>
      <c r="B21" s="9">
        <f>Historicals!B25</f>
        <v>3852</v>
      </c>
      <c r="C21" s="9">
        <f>Historicals!C25</f>
        <v>3138</v>
      </c>
      <c r="D21" s="9">
        <f>Historicals!D25</f>
        <v>3808</v>
      </c>
      <c r="E21" s="9">
        <f>Historicals!E25</f>
        <v>4249</v>
      </c>
      <c r="F21" s="9">
        <f>Historicals!F25</f>
        <v>4466</v>
      </c>
      <c r="G21" s="9">
        <f>Historicals!G25</f>
        <v>8348</v>
      </c>
      <c r="H21" s="9">
        <f>Historicals!H25</f>
        <v>9889</v>
      </c>
      <c r="I21" s="9">
        <f>Historicals!I25</f>
        <v>8574</v>
      </c>
      <c r="J21" s="9">
        <v>8574.0</v>
      </c>
      <c r="K21" s="9">
        <v>8574.0</v>
      </c>
      <c r="L21" s="9">
        <v>8574.0</v>
      </c>
      <c r="M21" s="9">
        <v>8574.0</v>
      </c>
      <c r="N21" s="9">
        <v>8574.0</v>
      </c>
    </row>
    <row r="22" ht="15.75" customHeight="1">
      <c r="A22" s="2" t="s">
        <v>206</v>
      </c>
      <c r="B22" s="9">
        <f>Historicals!B26</f>
        <v>2072</v>
      </c>
      <c r="C22" s="9">
        <f>Historicals!C26</f>
        <v>2319</v>
      </c>
      <c r="D22" s="9">
        <f>Historicals!D26</f>
        <v>2371</v>
      </c>
      <c r="E22" s="9">
        <f>Historicals!E26</f>
        <v>996</v>
      </c>
      <c r="F22" s="9">
        <f>Historicals!F26</f>
        <v>197</v>
      </c>
      <c r="G22" s="9">
        <f>Historicals!G26</f>
        <v>439</v>
      </c>
      <c r="H22" s="9">
        <f>Historicals!H26</f>
        <v>3587</v>
      </c>
      <c r="I22" s="9">
        <f>Historicals!I26</f>
        <v>4423</v>
      </c>
      <c r="J22" s="9">
        <v>4423.0</v>
      </c>
      <c r="K22" s="9">
        <v>4423.0</v>
      </c>
      <c r="L22" s="9">
        <v>4423.0</v>
      </c>
      <c r="M22" s="9">
        <v>4423.0</v>
      </c>
      <c r="N22" s="9">
        <v>4423.0</v>
      </c>
    </row>
    <row r="23" ht="15.75" customHeight="1">
      <c r="A23" s="2" t="s">
        <v>207</v>
      </c>
      <c r="B23" s="9">
        <f>Historicals!B28+Historicals!B27-Historicals!B41</f>
        <v>5564</v>
      </c>
      <c r="C23" s="9">
        <f>Historicals!C28+Historicals!C27-Historicals!C41</f>
        <v>5888</v>
      </c>
      <c r="D23" s="9">
        <f>Historicals!D28+Historicals!D27-Historicals!D41</f>
        <v>6684</v>
      </c>
      <c r="E23" s="9">
        <f>Historicals!E28+Historicals!E27-Historicals!E41</f>
        <v>6480</v>
      </c>
      <c r="F23" s="9">
        <f>Historicals!F28+Historicals!F27-Historicals!F41</f>
        <v>7282</v>
      </c>
      <c r="G23" s="9">
        <f>Historicals!G28+Historicals!G27-Historicals!G41</f>
        <v>7868</v>
      </c>
      <c r="H23" s="9">
        <f>Historicals!H28+Historicals!H27-Historicals!H41</f>
        <v>8481</v>
      </c>
      <c r="I23" s="9">
        <f>Historicals!I28+Historicals!I27-Historicals!I41</f>
        <v>9729</v>
      </c>
      <c r="J23" s="9">
        <v>9729.0</v>
      </c>
      <c r="K23" s="9">
        <v>9729.0</v>
      </c>
      <c r="L23" s="9">
        <v>9729.0</v>
      </c>
      <c r="M23" s="9">
        <v>9729.0</v>
      </c>
      <c r="N23" s="9">
        <v>9729.0</v>
      </c>
    </row>
    <row r="24" ht="15.75" customHeight="1">
      <c r="A24" s="41" t="s">
        <v>208</v>
      </c>
      <c r="B24" s="51">
        <f t="shared" ref="B24:I24" si="15">+IFERROR(B23/B$3,"nm")</f>
        <v>0.1818241234</v>
      </c>
      <c r="C24" s="51">
        <f t="shared" si="15"/>
        <v>0.1818631085</v>
      </c>
      <c r="D24" s="51">
        <f t="shared" si="15"/>
        <v>0.1945851528</v>
      </c>
      <c r="E24" s="51">
        <f t="shared" si="15"/>
        <v>0.1780366514</v>
      </c>
      <c r="F24" s="51">
        <f t="shared" si="15"/>
        <v>0.1861594703</v>
      </c>
      <c r="G24" s="51">
        <f t="shared" si="15"/>
        <v>0.210357458</v>
      </c>
      <c r="H24" s="51">
        <f t="shared" si="15"/>
        <v>0.1904216624</v>
      </c>
      <c r="I24" s="51">
        <f t="shared" si="15"/>
        <v>0.2082851638</v>
      </c>
      <c r="J24" s="52">
        <f t="shared" ref="J24:N24" si="16">+IFERROR(J22/J$3,"nm")</f>
        <v>0.08801650979</v>
      </c>
      <c r="K24" s="52">
        <f t="shared" si="16"/>
        <v>0.08801650979</v>
      </c>
      <c r="L24" s="52">
        <f t="shared" si="16"/>
        <v>0.08801650979</v>
      </c>
      <c r="M24" s="52">
        <f t="shared" si="16"/>
        <v>0.08801650979</v>
      </c>
      <c r="N24" s="52">
        <f t="shared" si="16"/>
        <v>0.08801650979</v>
      </c>
    </row>
    <row r="25" ht="15.75" customHeight="1">
      <c r="A25" s="2" t="s">
        <v>209</v>
      </c>
      <c r="B25" s="9">
        <f>Historicals!B29</f>
        <v>1968</v>
      </c>
      <c r="C25" s="9">
        <f>Historicals!C29</f>
        <v>1489</v>
      </c>
      <c r="D25" s="9">
        <f>Historicals!D29</f>
        <v>1150</v>
      </c>
      <c r="E25" s="9">
        <f>Historicals!E29</f>
        <v>1130</v>
      </c>
      <c r="F25" s="9">
        <f>Historicals!F29</f>
        <v>1968</v>
      </c>
      <c r="G25" s="9">
        <f>Historicals!G29</f>
        <v>1653</v>
      </c>
      <c r="H25" s="9">
        <f>Historicals!H29</f>
        <v>1498</v>
      </c>
      <c r="I25" s="9">
        <f>Historicals!I29</f>
        <v>2129</v>
      </c>
      <c r="J25" s="9">
        <v>2129.0</v>
      </c>
      <c r="K25" s="9">
        <v>2129.0</v>
      </c>
      <c r="L25" s="9">
        <v>2129.0</v>
      </c>
      <c r="M25" s="9">
        <v>2129.0</v>
      </c>
      <c r="N25" s="9">
        <v>2129.0</v>
      </c>
    </row>
    <row r="26" ht="15.75" customHeight="1">
      <c r="A26" s="2" t="s">
        <v>210</v>
      </c>
      <c r="B26" s="9">
        <f>Historicals!B31</f>
        <v>3011</v>
      </c>
      <c r="C26" s="9">
        <f>Historicals!C31</f>
        <v>3520</v>
      </c>
      <c r="D26" s="9">
        <f>Historicals!D31</f>
        <v>3989</v>
      </c>
      <c r="E26" s="9">
        <f>Historicals!E31</f>
        <v>4454</v>
      </c>
      <c r="F26" s="9">
        <f>Historicals!F31</f>
        <v>4744</v>
      </c>
      <c r="G26" s="9">
        <f>Historicals!G31</f>
        <v>4866</v>
      </c>
      <c r="H26" s="9">
        <f>Historicals!H31</f>
        <v>4904</v>
      </c>
      <c r="I26" s="9">
        <f>Historicals!I31</f>
        <v>4791</v>
      </c>
      <c r="J26" s="9">
        <v>4791.0</v>
      </c>
      <c r="K26" s="9">
        <v>4791.0</v>
      </c>
      <c r="L26" s="9">
        <v>4791.0</v>
      </c>
      <c r="M26" s="9">
        <v>4791.0</v>
      </c>
      <c r="N26" s="9">
        <v>4791.0</v>
      </c>
    </row>
    <row r="27" ht="15.75" customHeight="1">
      <c r="A27" s="2" t="s">
        <v>211</v>
      </c>
      <c r="B27" s="9">
        <f>Historicals!B33</f>
        <v>281</v>
      </c>
      <c r="C27" s="9">
        <f>Historicals!C33</f>
        <v>281</v>
      </c>
      <c r="D27" s="9">
        <f>Historicals!D33</f>
        <v>283</v>
      </c>
      <c r="E27" s="9">
        <f>Historicals!E33</f>
        <v>285</v>
      </c>
      <c r="F27" s="9">
        <f>Historicals!F33</f>
        <v>283</v>
      </c>
      <c r="G27" s="9">
        <f>Historicals!G33</f>
        <v>274</v>
      </c>
      <c r="H27" s="9">
        <f>Historicals!H33</f>
        <v>269</v>
      </c>
      <c r="I27" s="9">
        <f>Historicals!I33</f>
        <v>286</v>
      </c>
      <c r="J27" s="9">
        <v>286.0</v>
      </c>
      <c r="K27" s="9">
        <v>286.0</v>
      </c>
      <c r="L27" s="9">
        <v>286.0</v>
      </c>
      <c r="M27" s="9">
        <v>286.0</v>
      </c>
      <c r="N27" s="9">
        <v>286.0</v>
      </c>
    </row>
    <row r="28" ht="15.75" customHeight="1">
      <c r="A28" s="2" t="s">
        <v>38</v>
      </c>
      <c r="B28" s="9">
        <f>Historicals!B34</f>
        <v>131</v>
      </c>
      <c r="C28" s="9">
        <f>Historicals!C34</f>
        <v>131</v>
      </c>
      <c r="D28" s="9">
        <f>Historicals!D34</f>
        <v>139</v>
      </c>
      <c r="E28" s="9">
        <f>Historicals!E34</f>
        <v>154</v>
      </c>
      <c r="F28" s="9">
        <f>Historicals!F34</f>
        <v>154</v>
      </c>
      <c r="G28" s="9">
        <f>Historicals!G34</f>
        <v>223</v>
      </c>
      <c r="H28" s="9">
        <f>Historicals!H34</f>
        <v>242</v>
      </c>
      <c r="I28" s="9">
        <f>Historicals!I34</f>
        <v>284</v>
      </c>
      <c r="J28" s="9">
        <v>284.0</v>
      </c>
      <c r="K28" s="9">
        <v>284.0</v>
      </c>
      <c r="L28" s="9">
        <v>284.0</v>
      </c>
      <c r="M28" s="9">
        <v>284.0</v>
      </c>
      <c r="N28" s="9">
        <v>284.0</v>
      </c>
    </row>
    <row r="29" ht="15.75" customHeight="1">
      <c r="A29" s="4" t="s">
        <v>36</v>
      </c>
      <c r="B29" s="9">
        <f>Historicals!B32</f>
        <v>0</v>
      </c>
      <c r="C29" s="9">
        <f>Historicals!C32</f>
        <v>0</v>
      </c>
      <c r="D29" s="9">
        <f>Historicals!D32</f>
        <v>0</v>
      </c>
      <c r="E29" s="9">
        <f>Historicals!E32</f>
        <v>0</v>
      </c>
      <c r="F29" s="9">
        <f>Historicals!F32</f>
        <v>0</v>
      </c>
      <c r="G29" s="9">
        <f>Historicals!G32</f>
        <v>3097</v>
      </c>
      <c r="H29" s="9">
        <f>Historicals!H32</f>
        <v>3113</v>
      </c>
      <c r="I29" s="9">
        <f>Historicals!I32</f>
        <v>2926</v>
      </c>
      <c r="J29" s="9">
        <v>2926.0</v>
      </c>
      <c r="K29" s="9">
        <v>2926.0</v>
      </c>
      <c r="L29" s="9">
        <v>2926.0</v>
      </c>
      <c r="M29" s="9">
        <v>2926.0</v>
      </c>
      <c r="N29" s="9">
        <v>2926.0</v>
      </c>
    </row>
    <row r="30" ht="15.75" customHeight="1">
      <c r="A30" s="2" t="s">
        <v>212</v>
      </c>
      <c r="B30" s="9">
        <f>Historicals!B35</f>
        <v>2587</v>
      </c>
      <c r="C30" s="9">
        <f>Historicals!C35</f>
        <v>2439</v>
      </c>
      <c r="D30" s="9">
        <f>Historicals!D35</f>
        <v>2787</v>
      </c>
      <c r="E30" s="9">
        <f>Historicals!E35</f>
        <v>2509</v>
      </c>
      <c r="F30" s="9">
        <f>Historicals!F35</f>
        <v>2011</v>
      </c>
      <c r="G30" s="9">
        <f>Historicals!G35</f>
        <v>2326</v>
      </c>
      <c r="H30" s="9">
        <f>Historicals!H35</f>
        <v>2921</v>
      </c>
      <c r="I30" s="9">
        <f>Historicals!I35</f>
        <v>3821</v>
      </c>
      <c r="J30" s="9">
        <v>3821.0</v>
      </c>
      <c r="K30" s="9">
        <v>3821.0</v>
      </c>
      <c r="L30" s="9">
        <v>3821.0</v>
      </c>
      <c r="M30" s="9">
        <v>3821.0</v>
      </c>
      <c r="N30" s="9">
        <v>3821.0</v>
      </c>
    </row>
    <row r="31" ht="15.75" customHeight="1">
      <c r="A31" s="18" t="s">
        <v>213</v>
      </c>
      <c r="B31" s="19">
        <f t="shared" ref="B31:N31" si="17">B21+B22+B23+B25+B26+B27+B28+B29+B30</f>
        <v>19466</v>
      </c>
      <c r="C31" s="19">
        <f t="shared" si="17"/>
        <v>19205</v>
      </c>
      <c r="D31" s="19">
        <f t="shared" si="17"/>
        <v>21211</v>
      </c>
      <c r="E31" s="19">
        <f t="shared" si="17"/>
        <v>20257</v>
      </c>
      <c r="F31" s="19">
        <f t="shared" si="17"/>
        <v>21105</v>
      </c>
      <c r="G31" s="19">
        <f t="shared" si="17"/>
        <v>29094</v>
      </c>
      <c r="H31" s="19">
        <f t="shared" si="17"/>
        <v>34904</v>
      </c>
      <c r="I31" s="19">
        <f t="shared" si="17"/>
        <v>36963</v>
      </c>
      <c r="J31" s="19">
        <f t="shared" si="17"/>
        <v>36963</v>
      </c>
      <c r="K31" s="19">
        <f t="shared" si="17"/>
        <v>36963</v>
      </c>
      <c r="L31" s="19">
        <f t="shared" si="17"/>
        <v>36963</v>
      </c>
      <c r="M31" s="19">
        <f t="shared" si="17"/>
        <v>36963</v>
      </c>
      <c r="N31" s="19">
        <f t="shared" si="17"/>
        <v>36963</v>
      </c>
    </row>
    <row r="32" ht="15.75" customHeight="1">
      <c r="A32" s="2" t="s">
        <v>214</v>
      </c>
      <c r="B32" s="9">
        <f t="shared" ref="B32:N32" si="18">B34+B33</f>
        <v>181</v>
      </c>
      <c r="C32" s="9">
        <f t="shared" si="18"/>
        <v>45</v>
      </c>
      <c r="D32" s="9">
        <f t="shared" si="18"/>
        <v>331</v>
      </c>
      <c r="E32" s="9">
        <f t="shared" si="18"/>
        <v>342</v>
      </c>
      <c r="F32" s="9">
        <f t="shared" si="18"/>
        <v>15</v>
      </c>
      <c r="G32" s="9">
        <f t="shared" si="18"/>
        <v>251</v>
      </c>
      <c r="H32" s="9">
        <f t="shared" si="18"/>
        <v>2</v>
      </c>
      <c r="I32" s="9">
        <f t="shared" si="18"/>
        <v>510</v>
      </c>
      <c r="J32" s="9">
        <f t="shared" si="18"/>
        <v>510</v>
      </c>
      <c r="K32" s="9">
        <f t="shared" si="18"/>
        <v>510</v>
      </c>
      <c r="L32" s="9">
        <f t="shared" si="18"/>
        <v>510</v>
      </c>
      <c r="M32" s="9">
        <f t="shared" si="18"/>
        <v>510</v>
      </c>
      <c r="N32" s="9">
        <f t="shared" si="18"/>
        <v>510</v>
      </c>
    </row>
    <row r="33" ht="15.75" customHeight="1">
      <c r="A33" s="4" t="s">
        <v>43</v>
      </c>
      <c r="B33" s="9">
        <f>Historicals!B39</f>
        <v>107</v>
      </c>
      <c r="C33" s="9">
        <f>Historicals!C39</f>
        <v>44</v>
      </c>
      <c r="D33" s="9">
        <f>Historicals!D39</f>
        <v>6</v>
      </c>
      <c r="E33" s="9">
        <f>Historicals!E39</f>
        <v>6</v>
      </c>
      <c r="F33" s="9">
        <f>Historicals!F39</f>
        <v>6</v>
      </c>
      <c r="G33" s="9">
        <f>Historicals!G39</f>
        <v>3</v>
      </c>
      <c r="H33" s="9">
        <f>Historicals!H39</f>
        <v>0</v>
      </c>
      <c r="I33" s="9">
        <f>Historicals!I39</f>
        <v>500</v>
      </c>
      <c r="J33" s="9">
        <v>500.0</v>
      </c>
      <c r="K33" s="9">
        <v>500.0</v>
      </c>
      <c r="L33" s="9">
        <v>500.0</v>
      </c>
      <c r="M33" s="9">
        <v>500.0</v>
      </c>
      <c r="N33" s="9">
        <v>500.0</v>
      </c>
    </row>
    <row r="34" ht="15.75" customHeight="1">
      <c r="A34" s="4" t="s">
        <v>44</v>
      </c>
      <c r="B34" s="9">
        <f>Historicals!B40</f>
        <v>74</v>
      </c>
      <c r="C34" s="9">
        <f>Historicals!C40</f>
        <v>1</v>
      </c>
      <c r="D34" s="9">
        <f>Historicals!D40</f>
        <v>325</v>
      </c>
      <c r="E34" s="9">
        <f>Historicals!E40</f>
        <v>336</v>
      </c>
      <c r="F34" s="9">
        <f>Historicals!F40</f>
        <v>9</v>
      </c>
      <c r="G34" s="9">
        <f>Historicals!G40</f>
        <v>248</v>
      </c>
      <c r="H34" s="9">
        <f>Historicals!H40</f>
        <v>2</v>
      </c>
      <c r="I34" s="9">
        <f>Historicals!I40</f>
        <v>10</v>
      </c>
      <c r="J34" s="9">
        <v>10.0</v>
      </c>
      <c r="K34" s="9">
        <v>10.0</v>
      </c>
      <c r="L34" s="9">
        <v>10.0</v>
      </c>
      <c r="M34" s="9">
        <v>10.0</v>
      </c>
      <c r="N34" s="9">
        <v>10.0</v>
      </c>
    </row>
    <row r="35" ht="15.75" customHeight="1">
      <c r="A35" s="2" t="s">
        <v>215</v>
      </c>
      <c r="B35" s="9">
        <f>Historicals!B43+Historicals!B44</f>
        <v>4020</v>
      </c>
      <c r="C35" s="9">
        <f>Historicals!C43+Historicals!C44</f>
        <v>3122</v>
      </c>
      <c r="D35" s="9">
        <f>Historicals!D43+Historicals!D44</f>
        <v>3095</v>
      </c>
      <c r="E35" s="9">
        <f>Historicals!E43+Historicals!E44</f>
        <v>3419</v>
      </c>
      <c r="F35" s="9">
        <f>Historicals!F43+Historicals!F44</f>
        <v>5239</v>
      </c>
      <c r="G35" s="9">
        <f>Historicals!G43+Historicals!G44</f>
        <v>5340</v>
      </c>
      <c r="H35" s="9">
        <f>Historicals!H43+Historicals!H44</f>
        <v>6369</v>
      </c>
      <c r="I35" s="9">
        <f>Historicals!I43+Historicals!I44</f>
        <v>6442</v>
      </c>
      <c r="J35" s="9">
        <v>6442.0</v>
      </c>
      <c r="K35" s="9">
        <v>6442.0</v>
      </c>
      <c r="L35" s="9">
        <v>6442.0</v>
      </c>
      <c r="M35" s="9">
        <v>6442.0</v>
      </c>
      <c r="N35" s="9">
        <v>6442.0</v>
      </c>
    </row>
    <row r="36" ht="15.75" customHeight="1">
      <c r="A36" s="2" t="s">
        <v>50</v>
      </c>
      <c r="B36" s="9">
        <f>Historicals!B46</f>
        <v>1079</v>
      </c>
      <c r="C36" s="9">
        <f>Historicals!C46</f>
        <v>2010</v>
      </c>
      <c r="D36" s="9">
        <f>Historicals!D46</f>
        <v>3471</v>
      </c>
      <c r="E36" s="9">
        <f>Historicals!E46</f>
        <v>3468</v>
      </c>
      <c r="F36" s="9">
        <f>Historicals!F46</f>
        <v>3464</v>
      </c>
      <c r="G36" s="9">
        <f>Historicals!G46</f>
        <v>9406</v>
      </c>
      <c r="H36" s="9">
        <f>Historicals!H46</f>
        <v>9413</v>
      </c>
      <c r="I36" s="9">
        <f>Historicals!I46</f>
        <v>8920</v>
      </c>
      <c r="J36" s="9">
        <v>8920.0</v>
      </c>
      <c r="K36" s="9">
        <v>8920.0</v>
      </c>
      <c r="L36" s="9">
        <v>8920.0</v>
      </c>
      <c r="M36" s="9">
        <v>8920.0</v>
      </c>
      <c r="N36" s="9">
        <v>8920.0</v>
      </c>
    </row>
    <row r="37" ht="15.75" customHeight="1">
      <c r="A37" s="4" t="s">
        <v>51</v>
      </c>
      <c r="B37" s="9">
        <f>Historicals!B42+Historicals!B47</f>
        <v>0</v>
      </c>
      <c r="C37" s="9">
        <f>Historicals!C42+Historicals!C47</f>
        <v>0</v>
      </c>
      <c r="D37" s="9">
        <f>Historicals!D42+Historicals!D47</f>
        <v>0</v>
      </c>
      <c r="E37" s="9">
        <f>Historicals!E42+Historicals!E47</f>
        <v>0</v>
      </c>
      <c r="F37" s="9">
        <f>Historicals!F42+Historicals!F47</f>
        <v>0</v>
      </c>
      <c r="G37" s="9">
        <f>Historicals!G42+Historicals!G47</f>
        <v>3358</v>
      </c>
      <c r="H37" s="9">
        <f>Historicals!H42+Historicals!H47</f>
        <v>3398</v>
      </c>
      <c r="I37" s="9">
        <f>Historicals!I42+Historicals!I47</f>
        <v>3197</v>
      </c>
      <c r="J37" s="9">
        <v>3197.0</v>
      </c>
      <c r="K37" s="9">
        <v>3197.0</v>
      </c>
      <c r="L37" s="9">
        <v>3197.0</v>
      </c>
      <c r="M37" s="9">
        <v>3197.0</v>
      </c>
      <c r="N37" s="9">
        <v>3197.0</v>
      </c>
    </row>
    <row r="38" ht="15.75" customHeight="1">
      <c r="A38" s="2" t="s">
        <v>216</v>
      </c>
      <c r="B38" s="9">
        <f>Historicals!B48</f>
        <v>1479</v>
      </c>
      <c r="C38" s="9">
        <f>Historicals!C48</f>
        <v>1770</v>
      </c>
      <c r="D38" s="9">
        <f>Historicals!D48</f>
        <v>1907</v>
      </c>
      <c r="E38" s="9">
        <f>Historicals!E48</f>
        <v>3216</v>
      </c>
      <c r="F38" s="9">
        <f>Historicals!F48</f>
        <v>3347</v>
      </c>
      <c r="G38" s="9">
        <f>Historicals!G48</f>
        <v>2684</v>
      </c>
      <c r="H38" s="9">
        <f>Historicals!H48</f>
        <v>2955</v>
      </c>
      <c r="I38" s="9">
        <f>Historicals!I48</f>
        <v>2613</v>
      </c>
      <c r="J38" s="9">
        <v>2613.0</v>
      </c>
      <c r="K38" s="9">
        <v>2613.0</v>
      </c>
      <c r="L38" s="9">
        <v>2613.0</v>
      </c>
      <c r="M38" s="9">
        <v>2613.0</v>
      </c>
      <c r="N38" s="9">
        <v>2613.0</v>
      </c>
    </row>
    <row r="39" ht="15.75" customHeight="1">
      <c r="A39" s="2" t="s">
        <v>217</v>
      </c>
      <c r="B39" s="9">
        <f t="shared" ref="B39:N39" si="19">SUM(B40:B42)</f>
        <v>12707</v>
      </c>
      <c r="C39" s="9">
        <f t="shared" si="19"/>
        <v>12258</v>
      </c>
      <c r="D39" s="9">
        <f t="shared" si="19"/>
        <v>12407</v>
      </c>
      <c r="E39" s="9">
        <f t="shared" si="19"/>
        <v>9812</v>
      </c>
      <c r="F39" s="9">
        <f t="shared" si="19"/>
        <v>9040</v>
      </c>
      <c r="G39" s="9">
        <f t="shared" si="19"/>
        <v>8055</v>
      </c>
      <c r="H39" s="9">
        <f t="shared" si="19"/>
        <v>12767</v>
      </c>
      <c r="I39" s="9">
        <f t="shared" si="19"/>
        <v>15281</v>
      </c>
      <c r="J39" s="9">
        <f t="shared" si="19"/>
        <v>15281</v>
      </c>
      <c r="K39" s="9">
        <f t="shared" si="19"/>
        <v>15281</v>
      </c>
      <c r="L39" s="9">
        <f t="shared" si="19"/>
        <v>15281</v>
      </c>
      <c r="M39" s="9">
        <f t="shared" si="19"/>
        <v>15281</v>
      </c>
      <c r="N39" s="9">
        <f t="shared" si="19"/>
        <v>15281</v>
      </c>
    </row>
    <row r="40" ht="15.75" customHeight="1">
      <c r="A40" s="4" t="s">
        <v>218</v>
      </c>
      <c r="B40" s="9">
        <f>Historicals!B54</f>
        <v>3</v>
      </c>
      <c r="C40" s="9">
        <f>Historicals!C54</f>
        <v>3</v>
      </c>
      <c r="D40" s="9">
        <f>Historicals!D54</f>
        <v>3</v>
      </c>
      <c r="E40" s="9">
        <f>Historicals!E54</f>
        <v>3</v>
      </c>
      <c r="F40" s="9">
        <f>Historicals!F54</f>
        <v>3</v>
      </c>
      <c r="G40" s="9">
        <f>Historicals!G54</f>
        <v>3</v>
      </c>
      <c r="H40" s="9">
        <f>Historicals!H54</f>
        <v>3</v>
      </c>
      <c r="I40" s="9">
        <f>Historicals!I54</f>
        <v>3</v>
      </c>
      <c r="J40" s="9">
        <v>3.0</v>
      </c>
      <c r="K40" s="9">
        <v>3.0</v>
      </c>
      <c r="L40" s="9">
        <v>3.0</v>
      </c>
      <c r="M40" s="9">
        <v>3.0</v>
      </c>
      <c r="N40" s="9">
        <v>3.0</v>
      </c>
    </row>
    <row r="41" ht="15.75" customHeight="1">
      <c r="A41" s="4" t="s">
        <v>219</v>
      </c>
      <c r="B41" s="9">
        <f>Historicals!B57</f>
        <v>4685</v>
      </c>
      <c r="C41" s="9">
        <f>Historicals!C57</f>
        <v>4151</v>
      </c>
      <c r="D41" s="9">
        <f>Historicals!D57</f>
        <v>3979</v>
      </c>
      <c r="E41" s="9">
        <f>Historicals!E57</f>
        <v>3517</v>
      </c>
      <c r="F41" s="9">
        <f>Historicals!F57</f>
        <v>1643</v>
      </c>
      <c r="G41" s="9">
        <f>Historicals!G57</f>
        <v>-191</v>
      </c>
      <c r="H41" s="9">
        <f>Historicals!H57</f>
        <v>3179</v>
      </c>
      <c r="I41" s="9">
        <f>Historicals!I57</f>
        <v>3476</v>
      </c>
      <c r="J41" s="9">
        <v>3476.0</v>
      </c>
      <c r="K41" s="9">
        <v>3476.0</v>
      </c>
      <c r="L41" s="9">
        <v>3476.0</v>
      </c>
      <c r="M41" s="9">
        <v>3476.0</v>
      </c>
      <c r="N41" s="9">
        <v>3476.0</v>
      </c>
    </row>
    <row r="42" ht="15.75" customHeight="1">
      <c r="A42" s="4" t="s">
        <v>220</v>
      </c>
      <c r="B42" s="9">
        <f>Historicals!B55+Historicals!B56</f>
        <v>8019</v>
      </c>
      <c r="C42" s="9">
        <f>Historicals!C55+Historicals!C56</f>
        <v>8104</v>
      </c>
      <c r="D42" s="9">
        <f>Historicals!D55+Historicals!D56</f>
        <v>8425</v>
      </c>
      <c r="E42" s="9">
        <f>Historicals!E55+Historicals!E56</f>
        <v>6292</v>
      </c>
      <c r="F42" s="9">
        <f>Historicals!F55+Historicals!F56</f>
        <v>7394</v>
      </c>
      <c r="G42" s="9">
        <f>Historicals!G55+Historicals!G56</f>
        <v>8243</v>
      </c>
      <c r="H42" s="9">
        <f>Historicals!H55+Historicals!H56</f>
        <v>9585</v>
      </c>
      <c r="I42" s="9">
        <f>Historicals!I55+Historicals!I56</f>
        <v>11802</v>
      </c>
      <c r="J42" s="9">
        <v>11802.0</v>
      </c>
      <c r="K42" s="9">
        <v>11802.0</v>
      </c>
      <c r="L42" s="9">
        <v>11802.0</v>
      </c>
      <c r="M42" s="9">
        <v>11802.0</v>
      </c>
      <c r="N42" s="9">
        <v>11802.0</v>
      </c>
    </row>
    <row r="43" ht="15.75" customHeight="1">
      <c r="A43" s="18" t="s">
        <v>221</v>
      </c>
      <c r="B43" s="19">
        <f t="shared" ref="B43:N43" si="20">B32+B35+B36+B37+B38+B39</f>
        <v>19466</v>
      </c>
      <c r="C43" s="19">
        <f t="shared" si="20"/>
        <v>19205</v>
      </c>
      <c r="D43" s="19">
        <f t="shared" si="20"/>
        <v>21211</v>
      </c>
      <c r="E43" s="19">
        <f t="shared" si="20"/>
        <v>20257</v>
      </c>
      <c r="F43" s="19">
        <f t="shared" si="20"/>
        <v>21105</v>
      </c>
      <c r="G43" s="19">
        <f t="shared" si="20"/>
        <v>29094</v>
      </c>
      <c r="H43" s="19">
        <f t="shared" si="20"/>
        <v>34904</v>
      </c>
      <c r="I43" s="19">
        <f t="shared" si="20"/>
        <v>36963</v>
      </c>
      <c r="J43" s="19">
        <f t="shared" si="20"/>
        <v>36963</v>
      </c>
      <c r="K43" s="19">
        <f t="shared" si="20"/>
        <v>36963</v>
      </c>
      <c r="L43" s="19">
        <f t="shared" si="20"/>
        <v>36963</v>
      </c>
      <c r="M43" s="19">
        <f t="shared" si="20"/>
        <v>36963</v>
      </c>
      <c r="N43" s="19">
        <f t="shared" si="20"/>
        <v>36963</v>
      </c>
    </row>
    <row r="44" ht="15.75" customHeight="1">
      <c r="A44" s="55" t="s">
        <v>222</v>
      </c>
      <c r="B44" s="55"/>
      <c r="C44" s="55"/>
      <c r="D44" s="55"/>
      <c r="E44" s="55"/>
      <c r="F44" s="55"/>
      <c r="G44" s="55"/>
      <c r="H44" s="55"/>
      <c r="I44" s="55"/>
      <c r="J44" s="55"/>
      <c r="K44" s="55"/>
      <c r="L44" s="55"/>
      <c r="M44" s="55"/>
      <c r="N44" s="55"/>
      <c r="O44" s="3"/>
      <c r="P44" s="3"/>
      <c r="Q44" s="3"/>
      <c r="R44" s="3"/>
      <c r="S44" s="3"/>
      <c r="T44" s="3"/>
      <c r="U44" s="3"/>
      <c r="V44" s="3"/>
      <c r="W44" s="3"/>
      <c r="X44" s="3"/>
      <c r="Y44" s="3"/>
      <c r="Z44" s="3"/>
    </row>
    <row r="45" ht="15.75" customHeight="1">
      <c r="A45" s="54" t="s">
        <v>223</v>
      </c>
      <c r="B45" s="40"/>
      <c r="C45" s="40"/>
      <c r="D45" s="40"/>
      <c r="E45" s="40"/>
      <c r="F45" s="40"/>
      <c r="G45" s="40"/>
      <c r="H45" s="40"/>
      <c r="I45" s="40"/>
      <c r="J45" s="39"/>
      <c r="K45" s="39"/>
      <c r="L45" s="39"/>
      <c r="M45" s="39"/>
      <c r="N45" s="39"/>
    </row>
    <row r="46" ht="15.75" customHeight="1">
      <c r="A46" s="3" t="s">
        <v>147</v>
      </c>
      <c r="B46" s="12">
        <f>'Segmental forecast'!B11</f>
        <v>4233</v>
      </c>
      <c r="C46" s="12">
        <f>'Segmental forecast'!C11</f>
        <v>4642</v>
      </c>
      <c r="D46" s="12">
        <f>'Segmental forecast'!D11</f>
        <v>4945</v>
      </c>
      <c r="E46" s="12">
        <f>'Segmental forecast'!E11</f>
        <v>4379</v>
      </c>
      <c r="F46" s="12">
        <f>'Segmental forecast'!F11</f>
        <v>4850</v>
      </c>
      <c r="G46" s="12">
        <f>'Segmental forecast'!G11</f>
        <v>2976</v>
      </c>
      <c r="H46" s="12">
        <f>'Segmental forecast'!H11</f>
        <v>6923</v>
      </c>
      <c r="I46" s="12">
        <f>'Segmental forecast'!I11</f>
        <v>6856</v>
      </c>
      <c r="J46" s="12">
        <f>'Segmental forecast'!J11</f>
        <v>7460.673074</v>
      </c>
      <c r="K46" s="12">
        <f>'Segmental forecast'!K11</f>
        <v>7442.87685</v>
      </c>
      <c r="L46" s="12">
        <f>'Segmental forecast'!L11</f>
        <v>11490.95631</v>
      </c>
      <c r="M46" s="12">
        <f>'Segmental forecast'!M11</f>
        <v>10476.17669</v>
      </c>
      <c r="N46" s="12">
        <f>'Segmental forecast'!N11</f>
        <v>10946.89881</v>
      </c>
    </row>
    <row r="47" ht="15.75" customHeight="1">
      <c r="A47" s="2" t="s">
        <v>145</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720.15</v>
      </c>
      <c r="K47" s="9">
        <f>'Segmental forecast'!K8</f>
        <v>730.28464</v>
      </c>
      <c r="L47" s="9">
        <f>'Segmental forecast'!L8</f>
        <v>739.3872477</v>
      </c>
      <c r="M47" s="9">
        <f>'Segmental forecast'!M8</f>
        <v>763.1416746</v>
      </c>
      <c r="N47" s="9">
        <f>'Segmental forecast'!N8</f>
        <v>791.6444253</v>
      </c>
    </row>
    <row r="48" ht="15.75" customHeight="1">
      <c r="A48" s="2" t="s">
        <v>224</v>
      </c>
      <c r="B48" s="9">
        <f>Historicals!B103</f>
        <v>1262</v>
      </c>
      <c r="C48" s="9">
        <f>Historicals!C103</f>
        <v>748</v>
      </c>
      <c r="D48" s="9">
        <f>Historicals!D103</f>
        <v>703</v>
      </c>
      <c r="E48" s="9">
        <f>Historicals!E103</f>
        <v>529</v>
      </c>
      <c r="F48" s="9">
        <f>Historicals!F103</f>
        <v>757</v>
      </c>
      <c r="G48" s="9">
        <f>Historicals!G103</f>
        <v>1028</v>
      </c>
      <c r="H48" s="9">
        <f>Historicals!H103</f>
        <v>1177</v>
      </c>
      <c r="I48" s="9">
        <f>Historicals!I103</f>
        <v>1231</v>
      </c>
      <c r="J48" s="9">
        <v>1231.0</v>
      </c>
      <c r="K48" s="9">
        <v>1231.0</v>
      </c>
      <c r="L48" s="9">
        <v>1231.0</v>
      </c>
      <c r="M48" s="9">
        <v>1231.0</v>
      </c>
      <c r="N48" s="9">
        <v>1231.0</v>
      </c>
    </row>
    <row r="49" ht="15.75" customHeight="1">
      <c r="A49" s="3" t="s">
        <v>225</v>
      </c>
      <c r="B49" s="12">
        <f t="shared" ref="B49:N49" si="21">B46-B48</f>
        <v>2971</v>
      </c>
      <c r="C49" s="12">
        <f t="shared" si="21"/>
        <v>3894</v>
      </c>
      <c r="D49" s="12">
        <f t="shared" si="21"/>
        <v>4242</v>
      </c>
      <c r="E49" s="12">
        <f t="shared" si="21"/>
        <v>3850</v>
      </c>
      <c r="F49" s="12">
        <f t="shared" si="21"/>
        <v>4093</v>
      </c>
      <c r="G49" s="12">
        <f t="shared" si="21"/>
        <v>1948</v>
      </c>
      <c r="H49" s="12">
        <f t="shared" si="21"/>
        <v>5746</v>
      </c>
      <c r="I49" s="12">
        <f t="shared" si="21"/>
        <v>5625</v>
      </c>
      <c r="J49" s="12">
        <f t="shared" si="21"/>
        <v>6229.673074</v>
      </c>
      <c r="K49" s="12">
        <f t="shared" si="21"/>
        <v>6211.87685</v>
      </c>
      <c r="L49" s="12">
        <f t="shared" si="21"/>
        <v>10259.95631</v>
      </c>
      <c r="M49" s="12">
        <f t="shared" si="21"/>
        <v>9245.176687</v>
      </c>
      <c r="N49" s="12">
        <f t="shared" si="21"/>
        <v>9715.89881</v>
      </c>
    </row>
    <row r="50" ht="15.75" customHeight="1">
      <c r="A50" s="2" t="s">
        <v>226</v>
      </c>
      <c r="B50" s="9">
        <f>Historicals!B102</f>
        <v>53</v>
      </c>
      <c r="C50" s="9">
        <f>Historicals!C102</f>
        <v>70</v>
      </c>
      <c r="D50" s="9">
        <f>Historicals!D102</f>
        <v>98</v>
      </c>
      <c r="E50" s="9">
        <f>Historicals!E102</f>
        <v>125</v>
      </c>
      <c r="F50" s="9">
        <f>Historicals!F102</f>
        <v>153</v>
      </c>
      <c r="G50" s="9">
        <f>Historicals!G102</f>
        <v>140</v>
      </c>
      <c r="H50" s="9">
        <f>Historicals!H102</f>
        <v>293</v>
      </c>
      <c r="I50" s="9">
        <f>Historicals!I102</f>
        <v>290</v>
      </c>
      <c r="J50" s="9">
        <v>290.0</v>
      </c>
      <c r="K50" s="9">
        <v>290.0</v>
      </c>
      <c r="L50" s="9">
        <v>290.0</v>
      </c>
      <c r="M50" s="9">
        <v>290.0</v>
      </c>
      <c r="N50" s="9">
        <v>290.0</v>
      </c>
    </row>
    <row r="51" ht="15.75" customHeight="1">
      <c r="A51" s="2" t="s">
        <v>227</v>
      </c>
      <c r="B51" s="9">
        <v>2443.0</v>
      </c>
      <c r="C51" s="9">
        <f t="shared" ref="C51:N51" si="22">B23-C23</f>
        <v>-324</v>
      </c>
      <c r="D51" s="9">
        <f t="shared" si="22"/>
        <v>-796</v>
      </c>
      <c r="E51" s="9">
        <f t="shared" si="22"/>
        <v>204</v>
      </c>
      <c r="F51" s="9">
        <f t="shared" si="22"/>
        <v>-802</v>
      </c>
      <c r="G51" s="9">
        <f t="shared" si="22"/>
        <v>-586</v>
      </c>
      <c r="H51" s="9">
        <f t="shared" si="22"/>
        <v>-613</v>
      </c>
      <c r="I51" s="9">
        <f t="shared" si="22"/>
        <v>-1248</v>
      </c>
      <c r="J51" s="9">
        <f t="shared" si="22"/>
        <v>0</v>
      </c>
      <c r="K51" s="9">
        <f t="shared" si="22"/>
        <v>0</v>
      </c>
      <c r="L51" s="9">
        <f t="shared" si="22"/>
        <v>0</v>
      </c>
      <c r="M51" s="9">
        <f t="shared" si="22"/>
        <v>0</v>
      </c>
      <c r="N51" s="9">
        <f t="shared" si="22"/>
        <v>0</v>
      </c>
    </row>
    <row r="52" ht="15.75" customHeight="1">
      <c r="A52" s="2" t="s">
        <v>148</v>
      </c>
      <c r="B52" s="9">
        <f>-'Segmental forecast'!B14</f>
        <v>-963</v>
      </c>
      <c r="C52" s="9">
        <f>-'Segmental forecast'!C14</f>
        <v>-1143</v>
      </c>
      <c r="D52" s="9">
        <f>-'Segmental forecast'!D14</f>
        <v>-1105</v>
      </c>
      <c r="E52" s="9">
        <f>-'Segmental forecast'!E14</f>
        <v>-1028</v>
      </c>
      <c r="F52" s="9">
        <f>-'Segmental forecast'!F14</f>
        <v>-1119</v>
      </c>
      <c r="G52" s="9">
        <f>-'Segmental forecast'!G14</f>
        <v>-1086</v>
      </c>
      <c r="H52" s="9">
        <f>-'Segmental forecast'!H14</f>
        <v>-695</v>
      </c>
      <c r="I52" s="9">
        <f>-'Segmental forecast'!I14</f>
        <v>-758</v>
      </c>
      <c r="J52" s="9">
        <f>-'Segmental forecast'!J14</f>
        <v>-888.45</v>
      </c>
      <c r="K52" s="9">
        <f>-'Segmental forecast'!K14</f>
        <v>-931.1417</v>
      </c>
      <c r="L52" s="9">
        <f>-'Segmental forecast'!L14</f>
        <v>-963.3622268</v>
      </c>
      <c r="M52" s="9">
        <f>-'Segmental forecast'!M14</f>
        <v>-1017.221934</v>
      </c>
      <c r="N52" s="9">
        <f>-'Segmental forecast'!N14</f>
        <v>-1086.318684</v>
      </c>
    </row>
    <row r="53" ht="15.75" customHeight="1">
      <c r="A53" s="3" t="s">
        <v>228</v>
      </c>
      <c r="B53" s="12">
        <f t="shared" ref="B53:I53" si="23">+B49+B47-B50+B51+B52</f>
        <v>5004</v>
      </c>
      <c r="C53" s="12">
        <f t="shared" si="23"/>
        <v>3006</v>
      </c>
      <c r="D53" s="12">
        <f t="shared" si="23"/>
        <v>2949</v>
      </c>
      <c r="E53" s="12">
        <f t="shared" si="23"/>
        <v>3648</v>
      </c>
      <c r="F53" s="12">
        <f t="shared" si="23"/>
        <v>2724</v>
      </c>
      <c r="G53" s="12">
        <f t="shared" si="23"/>
        <v>857</v>
      </c>
      <c r="H53" s="12">
        <f t="shared" si="23"/>
        <v>4889</v>
      </c>
      <c r="I53" s="12">
        <f t="shared" si="23"/>
        <v>4046</v>
      </c>
      <c r="J53" s="12">
        <f t="shared" ref="J53:N53" si="24">J49+J47-J52-J51</f>
        <v>7838.273074</v>
      </c>
      <c r="K53" s="12">
        <f t="shared" si="24"/>
        <v>7873.30319</v>
      </c>
      <c r="L53" s="12">
        <f t="shared" si="24"/>
        <v>11962.70578</v>
      </c>
      <c r="M53" s="12">
        <f t="shared" si="24"/>
        <v>11025.5403</v>
      </c>
      <c r="N53" s="12">
        <f t="shared" si="24"/>
        <v>11593.86192</v>
      </c>
    </row>
    <row r="54" ht="15.75" customHeight="1">
      <c r="A54" s="2" t="s">
        <v>229</v>
      </c>
      <c r="B54" s="9">
        <f>+Historicals!B76-(+B47+B51+B49)</f>
        <v>-1340</v>
      </c>
      <c r="C54" s="9">
        <f>+Historicals!C76-(+C47+C51+C49)</f>
        <v>-1123</v>
      </c>
      <c r="D54" s="9">
        <f>+Historicals!D76-(+D47+D51+D49)</f>
        <v>-306</v>
      </c>
      <c r="E54" s="9">
        <f>+Historicals!E76-(+E47+E51+E49)</f>
        <v>154</v>
      </c>
      <c r="F54" s="9">
        <f>+Historicals!F76-(+F47+F51+F49)</f>
        <v>1907</v>
      </c>
      <c r="G54" s="9">
        <f>+Historicals!G76-(+G47+G51+G49)</f>
        <v>402</v>
      </c>
      <c r="H54" s="9">
        <f>+Historicals!H76-(+H47+H51+H49)</f>
        <v>780</v>
      </c>
      <c r="I54" s="9">
        <f>+Historicals!I76-(+I47+I51+I49)</f>
        <v>94</v>
      </c>
      <c r="J54" s="9">
        <v>94.0</v>
      </c>
      <c r="K54" s="9">
        <v>94.0</v>
      </c>
      <c r="L54" s="9">
        <v>94.0</v>
      </c>
      <c r="M54" s="9">
        <v>94.0</v>
      </c>
      <c r="N54" s="9">
        <v>94.0</v>
      </c>
      <c r="P54" s="9"/>
    </row>
    <row r="55" ht="15.75" customHeight="1">
      <c r="A55" s="28" t="s">
        <v>230</v>
      </c>
      <c r="B55" s="27">
        <f t="shared" ref="B55:N55" si="25">+B49+B47+B51+B54</f>
        <v>4680</v>
      </c>
      <c r="C55" s="27">
        <f t="shared" si="25"/>
        <v>3096</v>
      </c>
      <c r="D55" s="27">
        <f t="shared" si="25"/>
        <v>3846</v>
      </c>
      <c r="E55" s="27">
        <f t="shared" si="25"/>
        <v>4955</v>
      </c>
      <c r="F55" s="27">
        <f t="shared" si="25"/>
        <v>5903</v>
      </c>
      <c r="G55" s="27">
        <f t="shared" si="25"/>
        <v>2485</v>
      </c>
      <c r="H55" s="27">
        <f t="shared" si="25"/>
        <v>6657</v>
      </c>
      <c r="I55" s="27">
        <f t="shared" si="25"/>
        <v>5188</v>
      </c>
      <c r="J55" s="27">
        <f t="shared" si="25"/>
        <v>7043.823074</v>
      </c>
      <c r="K55" s="27">
        <f t="shared" si="25"/>
        <v>7036.16149</v>
      </c>
      <c r="L55" s="27">
        <f t="shared" si="25"/>
        <v>11093.34356</v>
      </c>
      <c r="M55" s="27">
        <f t="shared" si="25"/>
        <v>10102.31836</v>
      </c>
      <c r="N55" s="27">
        <f t="shared" si="25"/>
        <v>10601.54324</v>
      </c>
    </row>
    <row r="56" ht="15.75" customHeight="1">
      <c r="A56" s="2" t="s">
        <v>231</v>
      </c>
      <c r="B56" s="9"/>
      <c r="C56" s="9"/>
      <c r="D56" s="9"/>
      <c r="E56" s="9"/>
      <c r="F56" s="9"/>
      <c r="G56" s="9"/>
      <c r="H56" s="9"/>
      <c r="I56" s="9"/>
      <c r="J56" s="9"/>
      <c r="K56" s="9"/>
      <c r="L56" s="9"/>
      <c r="M56" s="9"/>
      <c r="N56" s="9"/>
    </row>
    <row r="57" ht="15.75" customHeight="1">
      <c r="A57" s="2" t="s">
        <v>232</v>
      </c>
      <c r="B57" s="9">
        <f>Historicals!B78+Historicals!B79+Historicals!B80+Historicals!B81+Historicals!B83+Historicals!B84</f>
        <v>788</v>
      </c>
      <c r="C57" s="9">
        <f>Historicals!C78+Historicals!C79+Historicals!C80+Historicals!C81+Historicals!C83+Historicals!C84</f>
        <v>109</v>
      </c>
      <c r="D57" s="9">
        <f>Historicals!D78+Historicals!D79+Historicals!D80+Historicals!D81+Historicals!D83+Historicals!D84</f>
        <v>97</v>
      </c>
      <c r="E57" s="9">
        <f>Historicals!E78+Historicals!E79+Historicals!E80+Historicals!E81+Historicals!E83+Historicals!E84</f>
        <v>1304</v>
      </c>
      <c r="F57" s="9">
        <f>Historicals!F78+Historicals!F79+Historicals!F80+Historicals!F81+Historicals!F83+Historicals!F84</f>
        <v>855</v>
      </c>
      <c r="G57" s="9">
        <f>Historicals!G78+Historicals!G79+Historicals!G80+Historicals!G81+Historicals!G83+Historicals!G84</f>
        <v>58</v>
      </c>
      <c r="H57" s="9">
        <f>Historicals!H78+Historicals!H79+Historicals!H80+Historicals!H81+Historicals!H83+Historicals!H84</f>
        <v>-3105</v>
      </c>
      <c r="I57" s="9">
        <f>Historicals!I78+Historicals!I79+Historicals!I80+Historicals!I81+Historicals!I83+Historicals!I84</f>
        <v>-766</v>
      </c>
      <c r="J57" s="9">
        <v>-766.0</v>
      </c>
      <c r="K57" s="9">
        <v>-766.0</v>
      </c>
      <c r="L57" s="9">
        <v>-766.0</v>
      </c>
      <c r="M57" s="9">
        <v>-766.0</v>
      </c>
      <c r="N57" s="9">
        <v>-766.0</v>
      </c>
    </row>
    <row r="58" ht="15.75" customHeight="1">
      <c r="A58" s="28" t="s">
        <v>233</v>
      </c>
      <c r="B58" s="27">
        <f t="shared" ref="B58:N58" si="26">B52+B57</f>
        <v>-175</v>
      </c>
      <c r="C58" s="27">
        <f t="shared" si="26"/>
        <v>-1034</v>
      </c>
      <c r="D58" s="27">
        <f t="shared" si="26"/>
        <v>-1008</v>
      </c>
      <c r="E58" s="27">
        <f t="shared" si="26"/>
        <v>276</v>
      </c>
      <c r="F58" s="27">
        <f t="shared" si="26"/>
        <v>-264</v>
      </c>
      <c r="G58" s="27">
        <f t="shared" si="26"/>
        <v>-1028</v>
      </c>
      <c r="H58" s="27">
        <f t="shared" si="26"/>
        <v>-3800</v>
      </c>
      <c r="I58" s="27">
        <f t="shared" si="26"/>
        <v>-1524</v>
      </c>
      <c r="J58" s="27">
        <f t="shared" si="26"/>
        <v>-1654.45</v>
      </c>
      <c r="K58" s="27">
        <f t="shared" si="26"/>
        <v>-1697.1417</v>
      </c>
      <c r="L58" s="27">
        <f t="shared" si="26"/>
        <v>-1729.362227</v>
      </c>
      <c r="M58" s="27">
        <f t="shared" si="26"/>
        <v>-1783.221934</v>
      </c>
      <c r="N58" s="27">
        <f t="shared" si="26"/>
        <v>-1852.318684</v>
      </c>
    </row>
    <row r="59" ht="15.75" customHeight="1">
      <c r="A59" s="2" t="s">
        <v>234</v>
      </c>
      <c r="B59" s="9">
        <f>Historicals!B90+Historicals!B91</f>
        <v>-2020</v>
      </c>
      <c r="C59" s="9">
        <f>Historicals!C90+Historicals!C91</f>
        <v>-2731</v>
      </c>
      <c r="D59" s="9">
        <f>Historicals!D90+Historicals!D91</f>
        <v>-2734</v>
      </c>
      <c r="E59" s="9">
        <f>Historicals!E90+Historicals!E91</f>
        <v>-3521</v>
      </c>
      <c r="F59" s="9">
        <f>Historicals!F90+Historicals!F91</f>
        <v>-3586</v>
      </c>
      <c r="G59" s="9">
        <f>Historicals!G90+Historicals!G91</f>
        <v>-2182</v>
      </c>
      <c r="H59" s="9">
        <f>Historicals!H90+Historicals!H91</f>
        <v>564</v>
      </c>
      <c r="I59" s="9">
        <f>Historicals!I90+Historicals!I91</f>
        <v>-2863</v>
      </c>
      <c r="J59" s="9">
        <v>-2863.0</v>
      </c>
      <c r="K59" s="9">
        <v>-2863.0</v>
      </c>
      <c r="L59" s="9">
        <v>-2863.0</v>
      </c>
      <c r="M59" s="9">
        <v>-2863.0</v>
      </c>
      <c r="N59" s="9">
        <v>-2863.0</v>
      </c>
    </row>
    <row r="60" ht="15.75" customHeight="1">
      <c r="A60" s="41" t="s">
        <v>142</v>
      </c>
      <c r="B60" s="51" t="str">
        <f t="shared" ref="B60:N60" si="27">+IFERROR(B59/A59-1,"nm")</f>
        <v>nm</v>
      </c>
      <c r="C60" s="51">
        <f t="shared" si="27"/>
        <v>0.351980198</v>
      </c>
      <c r="D60" s="51">
        <f t="shared" si="27"/>
        <v>0.001098498718</v>
      </c>
      <c r="E60" s="51">
        <f t="shared" si="27"/>
        <v>0.2878566203</v>
      </c>
      <c r="F60" s="51">
        <f t="shared" si="27"/>
        <v>0.01846066458</v>
      </c>
      <c r="G60" s="51">
        <f t="shared" si="27"/>
        <v>-0.3915225878</v>
      </c>
      <c r="H60" s="51">
        <f t="shared" si="27"/>
        <v>-1.25847846</v>
      </c>
      <c r="I60" s="51">
        <f t="shared" si="27"/>
        <v>-6.076241135</v>
      </c>
      <c r="J60" s="51">
        <f t="shared" si="27"/>
        <v>0</v>
      </c>
      <c r="K60" s="51">
        <f t="shared" si="27"/>
        <v>0</v>
      </c>
      <c r="L60" s="51">
        <f t="shared" si="27"/>
        <v>0</v>
      </c>
      <c r="M60" s="51">
        <f t="shared" si="27"/>
        <v>0</v>
      </c>
      <c r="N60" s="51">
        <f t="shared" si="27"/>
        <v>0</v>
      </c>
    </row>
    <row r="61" ht="15.75" customHeight="1">
      <c r="A61" s="2" t="s">
        <v>235</v>
      </c>
      <c r="B61" s="9">
        <f>Historicals!B92</f>
        <v>-899</v>
      </c>
      <c r="C61" s="9">
        <f>Historicals!C92</f>
        <v>-1022</v>
      </c>
      <c r="D61" s="9">
        <f>Historicals!D92</f>
        <v>-1133</v>
      </c>
      <c r="E61" s="9">
        <f>Historicals!E92</f>
        <v>-1243</v>
      </c>
      <c r="F61" s="9">
        <f>Historicals!F92</f>
        <v>-1332</v>
      </c>
      <c r="G61" s="9">
        <f>Historicals!G92</f>
        <v>-1452</v>
      </c>
      <c r="H61" s="9">
        <f>Historicals!H92</f>
        <v>-1638</v>
      </c>
      <c r="I61" s="9">
        <f>Historicals!I92</f>
        <v>-1837</v>
      </c>
      <c r="J61" s="9">
        <v>-1837.0</v>
      </c>
      <c r="K61" s="9">
        <v>-1837.0</v>
      </c>
      <c r="L61" s="9">
        <v>-1837.0</v>
      </c>
      <c r="M61" s="9">
        <v>-1837.0</v>
      </c>
      <c r="N61" s="9">
        <v>-1837.0</v>
      </c>
    </row>
    <row r="62" ht="15.75" customHeight="1">
      <c r="A62" s="2" t="s">
        <v>236</v>
      </c>
      <c r="B62" s="9">
        <f>SUM(Historicals!B86:B89)</f>
        <v>-70</v>
      </c>
      <c r="C62" s="9">
        <f>SUM(Historicals!C86:C89)</f>
        <v>808</v>
      </c>
      <c r="D62" s="9">
        <f>SUM(Historicals!D86:D89)</f>
        <v>1765</v>
      </c>
      <c r="E62" s="9">
        <f>SUM(Historicals!E86:E89)</f>
        <v>7</v>
      </c>
      <c r="F62" s="9">
        <f>SUM(Historicals!F86:F89)</f>
        <v>-331</v>
      </c>
      <c r="G62" s="9">
        <f>SUM(Historicals!G86:G89)</f>
        <v>6177</v>
      </c>
      <c r="H62" s="9">
        <f>SUM(Historicals!H86:H89)</f>
        <v>-249</v>
      </c>
      <c r="I62" s="9">
        <f>SUM(Historicals!I86:I89)</f>
        <v>15</v>
      </c>
      <c r="J62" s="9">
        <v>15.0</v>
      </c>
      <c r="K62" s="9">
        <v>15.0</v>
      </c>
      <c r="L62" s="9">
        <v>15.0</v>
      </c>
      <c r="M62" s="9">
        <v>15.0</v>
      </c>
      <c r="N62" s="9">
        <v>15.0</v>
      </c>
    </row>
    <row r="63" ht="15.75" customHeight="1">
      <c r="A63" s="2" t="s">
        <v>237</v>
      </c>
      <c r="B63" s="9">
        <f>Historicals!B93</f>
        <v>199</v>
      </c>
      <c r="C63" s="9">
        <f>Historicals!C93</f>
        <v>274</v>
      </c>
      <c r="D63" s="9">
        <f>Historicals!D93</f>
        <v>-46</v>
      </c>
      <c r="E63" s="9">
        <f>Historicals!E93</f>
        <v>-78</v>
      </c>
      <c r="F63" s="9">
        <f>Historicals!F93</f>
        <v>-44</v>
      </c>
      <c r="G63" s="9">
        <f>Historicals!G93</f>
        <v>-52</v>
      </c>
      <c r="H63" s="9">
        <f>Historicals!H93</f>
        <v>-136</v>
      </c>
      <c r="I63" s="9">
        <f>Historicals!I93</f>
        <v>-151</v>
      </c>
      <c r="J63" s="9">
        <v>-151.0</v>
      </c>
      <c r="K63" s="9">
        <v>-151.0</v>
      </c>
      <c r="L63" s="9">
        <v>-151.0</v>
      </c>
      <c r="M63" s="9">
        <v>-151.0</v>
      </c>
      <c r="N63" s="9">
        <v>-151.0</v>
      </c>
    </row>
    <row r="64" ht="15.75" customHeight="1">
      <c r="A64" s="28" t="s">
        <v>238</v>
      </c>
      <c r="B64" s="27">
        <f t="shared" ref="B64:N64" si="28">B59+B61+B62+B63</f>
        <v>-2790</v>
      </c>
      <c r="C64" s="27">
        <f t="shared" si="28"/>
        <v>-2671</v>
      </c>
      <c r="D64" s="27">
        <f t="shared" si="28"/>
        <v>-2148</v>
      </c>
      <c r="E64" s="27">
        <f t="shared" si="28"/>
        <v>-4835</v>
      </c>
      <c r="F64" s="27">
        <f t="shared" si="28"/>
        <v>-5293</v>
      </c>
      <c r="G64" s="27">
        <f t="shared" si="28"/>
        <v>2491</v>
      </c>
      <c r="H64" s="27">
        <f t="shared" si="28"/>
        <v>-1459</v>
      </c>
      <c r="I64" s="27">
        <f t="shared" si="28"/>
        <v>-4836</v>
      </c>
      <c r="J64" s="27">
        <f t="shared" si="28"/>
        <v>-4836</v>
      </c>
      <c r="K64" s="27">
        <f t="shared" si="28"/>
        <v>-4836</v>
      </c>
      <c r="L64" s="27">
        <f t="shared" si="28"/>
        <v>-4836</v>
      </c>
      <c r="M64" s="27">
        <f t="shared" si="28"/>
        <v>-4836</v>
      </c>
      <c r="N64" s="27">
        <f t="shared" si="28"/>
        <v>-4836</v>
      </c>
    </row>
    <row r="65" ht="15.75" customHeight="1">
      <c r="A65" s="2" t="s">
        <v>239</v>
      </c>
      <c r="B65" s="9">
        <f>Historicals!B95</f>
        <v>-83</v>
      </c>
      <c r="C65" s="9">
        <f>Historicals!C95</f>
        <v>-105</v>
      </c>
      <c r="D65" s="9">
        <f>Historicals!D95</f>
        <v>-20</v>
      </c>
      <c r="E65" s="9">
        <f>Historicals!E95</f>
        <v>45</v>
      </c>
      <c r="F65" s="9">
        <f>Historicals!F95</f>
        <v>-129</v>
      </c>
      <c r="G65" s="9">
        <f>Historicals!G95</f>
        <v>-66</v>
      </c>
      <c r="H65" s="9">
        <f>Historicals!H95</f>
        <v>143</v>
      </c>
      <c r="I65" s="9">
        <f>Historicals!I95</f>
        <v>-143</v>
      </c>
      <c r="J65" s="9">
        <v>-143.0</v>
      </c>
      <c r="K65" s="9">
        <v>-143.0</v>
      </c>
      <c r="L65" s="9">
        <v>-143.0</v>
      </c>
      <c r="M65" s="9">
        <v>-143.0</v>
      </c>
      <c r="N65" s="9">
        <v>-143.0</v>
      </c>
    </row>
    <row r="66" ht="15.75" customHeight="1">
      <c r="A66" s="28" t="s">
        <v>240</v>
      </c>
      <c r="B66" s="27">
        <f t="shared" ref="B66:N66" si="29">B55+B58+B64+B65</f>
        <v>1632</v>
      </c>
      <c r="C66" s="27">
        <f t="shared" si="29"/>
        <v>-714</v>
      </c>
      <c r="D66" s="27">
        <f t="shared" si="29"/>
        <v>670</v>
      </c>
      <c r="E66" s="27">
        <f t="shared" si="29"/>
        <v>441</v>
      </c>
      <c r="F66" s="27">
        <f t="shared" si="29"/>
        <v>217</v>
      </c>
      <c r="G66" s="27">
        <f t="shared" si="29"/>
        <v>3882</v>
      </c>
      <c r="H66" s="27">
        <f t="shared" si="29"/>
        <v>1541</v>
      </c>
      <c r="I66" s="27">
        <f t="shared" si="29"/>
        <v>-1315</v>
      </c>
      <c r="J66" s="27">
        <f t="shared" si="29"/>
        <v>410.3730737</v>
      </c>
      <c r="K66" s="27">
        <f t="shared" si="29"/>
        <v>360.0197898</v>
      </c>
      <c r="L66" s="27">
        <f t="shared" si="29"/>
        <v>4384.98133</v>
      </c>
      <c r="M66" s="27">
        <f t="shared" si="29"/>
        <v>3340.096428</v>
      </c>
      <c r="N66" s="27">
        <f t="shared" si="29"/>
        <v>3770.224552</v>
      </c>
    </row>
    <row r="67" ht="15.75" customHeight="1">
      <c r="A67" s="2" t="s">
        <v>241</v>
      </c>
      <c r="B67" s="9">
        <f>Historicals!B97</f>
        <v>2220</v>
      </c>
      <c r="C67" s="9">
        <f t="shared" ref="C67:N67" si="30">B68</f>
        <v>3852</v>
      </c>
      <c r="D67" s="9">
        <f t="shared" si="30"/>
        <v>3138</v>
      </c>
      <c r="E67" s="9">
        <f t="shared" si="30"/>
        <v>3808</v>
      </c>
      <c r="F67" s="9">
        <f t="shared" si="30"/>
        <v>4249</v>
      </c>
      <c r="G67" s="9">
        <f t="shared" si="30"/>
        <v>4466</v>
      </c>
      <c r="H67" s="9">
        <f t="shared" si="30"/>
        <v>8348</v>
      </c>
      <c r="I67" s="9">
        <f t="shared" si="30"/>
        <v>9889</v>
      </c>
      <c r="J67" s="9">
        <f t="shared" si="30"/>
        <v>8574</v>
      </c>
      <c r="K67" s="9">
        <f t="shared" si="30"/>
        <v>8984.373074</v>
      </c>
      <c r="L67" s="9">
        <f t="shared" si="30"/>
        <v>9344.392864</v>
      </c>
      <c r="M67" s="9">
        <f t="shared" si="30"/>
        <v>13729.37419</v>
      </c>
      <c r="N67" s="9">
        <f t="shared" si="30"/>
        <v>17069.47062</v>
      </c>
      <c r="P67" s="12"/>
    </row>
    <row r="68" ht="15.75" customHeight="1">
      <c r="A68" s="18" t="s">
        <v>242</v>
      </c>
      <c r="B68" s="19">
        <f t="shared" ref="B68:N68" si="31">B66+B67</f>
        <v>3852</v>
      </c>
      <c r="C68" s="19">
        <f t="shared" si="31"/>
        <v>3138</v>
      </c>
      <c r="D68" s="19">
        <f t="shared" si="31"/>
        <v>3808</v>
      </c>
      <c r="E68" s="19">
        <f t="shared" si="31"/>
        <v>4249</v>
      </c>
      <c r="F68" s="19">
        <f t="shared" si="31"/>
        <v>4466</v>
      </c>
      <c r="G68" s="19">
        <f t="shared" si="31"/>
        <v>8348</v>
      </c>
      <c r="H68" s="19">
        <f t="shared" si="31"/>
        <v>9889</v>
      </c>
      <c r="I68" s="19">
        <f t="shared" si="31"/>
        <v>8574</v>
      </c>
      <c r="J68" s="19">
        <f t="shared" si="31"/>
        <v>8984.373074</v>
      </c>
      <c r="K68" s="19">
        <f t="shared" si="31"/>
        <v>9344.392864</v>
      </c>
      <c r="L68" s="19">
        <f t="shared" si="31"/>
        <v>13729.37419</v>
      </c>
      <c r="M68" s="19">
        <f t="shared" si="31"/>
        <v>17069.47062</v>
      </c>
      <c r="N68" s="19">
        <f t="shared" si="31"/>
        <v>20839.69517</v>
      </c>
    </row>
    <row r="69" ht="15.75" customHeight="1">
      <c r="A69" s="55" t="s">
        <v>222</v>
      </c>
      <c r="B69" s="23">
        <f t="shared" ref="B69:I69" si="32">+B68-B21</f>
        <v>0</v>
      </c>
      <c r="C69" s="23">
        <f t="shared" si="32"/>
        <v>0</v>
      </c>
      <c r="D69" s="23">
        <f t="shared" si="32"/>
        <v>0</v>
      </c>
      <c r="E69" s="23">
        <f t="shared" si="32"/>
        <v>0</v>
      </c>
      <c r="F69" s="23">
        <f t="shared" si="32"/>
        <v>0</v>
      </c>
      <c r="G69" s="23">
        <f t="shared" si="32"/>
        <v>0</v>
      </c>
      <c r="H69" s="23">
        <f t="shared" si="32"/>
        <v>0</v>
      </c>
      <c r="I69" s="23">
        <f t="shared" si="32"/>
        <v>0</v>
      </c>
      <c r="J69" s="12"/>
      <c r="K69" s="12"/>
      <c r="L69" s="12"/>
      <c r="M69" s="12"/>
      <c r="N69" s="12"/>
    </row>
    <row r="70" ht="15.75" customHeight="1">
      <c r="A70" s="3" t="s">
        <v>243</v>
      </c>
      <c r="B70" s="12">
        <f t="shared" ref="B70:N70" si="33">B62-(B68+B67)</f>
        <v>-6142</v>
      </c>
      <c r="C70" s="12">
        <f t="shared" si="33"/>
        <v>-6182</v>
      </c>
      <c r="D70" s="12">
        <f t="shared" si="33"/>
        <v>-5181</v>
      </c>
      <c r="E70" s="12">
        <f t="shared" si="33"/>
        <v>-8050</v>
      </c>
      <c r="F70" s="12">
        <f t="shared" si="33"/>
        <v>-9046</v>
      </c>
      <c r="G70" s="12">
        <f t="shared" si="33"/>
        <v>-6637</v>
      </c>
      <c r="H70" s="12">
        <f t="shared" si="33"/>
        <v>-18486</v>
      </c>
      <c r="I70" s="12">
        <f t="shared" si="33"/>
        <v>-18448</v>
      </c>
      <c r="J70" s="12">
        <f t="shared" si="33"/>
        <v>-17543.37307</v>
      </c>
      <c r="K70" s="12">
        <f t="shared" si="33"/>
        <v>-18313.76594</v>
      </c>
      <c r="L70" s="12">
        <f t="shared" si="33"/>
        <v>-23058.76706</v>
      </c>
      <c r="M70" s="12">
        <f t="shared" si="33"/>
        <v>-30783.84481</v>
      </c>
      <c r="N70" s="12">
        <f t="shared" si="33"/>
        <v>-37894.16579</v>
      </c>
    </row>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94"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